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ter\Desktop\Tools\"/>
    </mc:Choice>
  </mc:AlternateContent>
  <bookViews>
    <workbookView xWindow="0" yWindow="0" windowWidth="16200" windowHeight="25620"/>
  </bookViews>
  <sheets>
    <sheet name="Sheet1 (2)" sheetId="2" r:id="rId1"/>
    <sheet name="Sheet3" sheetId="3" r:id="rId2"/>
  </sheets>
  <definedNames>
    <definedName name="ACQUISITION_MODE">Sheet3!$C$2:$C$4</definedName>
    <definedName name="BPP">Sheet3!$B$26</definedName>
    <definedName name="BWF">Sheet3!#REF!</definedName>
    <definedName name="BWL">'Sheet1 (2)'!$C$8</definedName>
    <definedName name="CameraModels">Sheet3!$A$2:$A$7</definedName>
    <definedName name="EXPOSURE">'Sheet1 (2)'!$C$9</definedName>
    <definedName name="Flim">Sheet3!#REF!</definedName>
    <definedName name="Fmax">Sheet3!#REF!</definedName>
    <definedName name="Fmin">Sheet3!#REF!</definedName>
    <definedName name="FRAMERATE">Sheet3!$B$19</definedName>
    <definedName name="HEIGHT">Sheet3!$B$23</definedName>
    <definedName name="HEIGHT_INC">Sheet3!#REF!</definedName>
    <definedName name="HEIGHT_MAX">Sheet3!$B$18</definedName>
    <definedName name="HEIGHT_MIN">Sheet3!#REF!</definedName>
    <definedName name="HEIGHT_SCROLL">Sheet3!$B$21</definedName>
    <definedName name="MODE_ID">Sheet3!$B$14</definedName>
    <definedName name="MODEL_ID">Sheet3!$B$12</definedName>
    <definedName name="WIDTH">Sheet3!$B$22</definedName>
    <definedName name="WIDTH_INC">Sheet3!#REF!</definedName>
    <definedName name="WIDTH_MAX">Sheet3!$B$17</definedName>
    <definedName name="WIDTH_MIN">Sheet3!#REF!</definedName>
    <definedName name="WIDTH_SCROLL">Sheet3!$B$20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3" i="3"/>
  <c r="B26" i="3"/>
  <c r="B25" i="3"/>
  <c r="B24" i="3"/>
  <c r="B17" i="3"/>
  <c r="B22" i="3" s="1"/>
  <c r="C6" i="2" s="1"/>
  <c r="B18" i="3"/>
  <c r="B23" i="3" s="1"/>
  <c r="C7" i="2" s="1"/>
  <c r="S30" i="3" l="1"/>
  <c r="K30" i="3" s="1"/>
  <c r="L30" i="3" s="1"/>
  <c r="M30" i="3" s="1"/>
  <c r="S33" i="3"/>
  <c r="K33" i="3" s="1"/>
  <c r="L33" i="3" s="1"/>
  <c r="M33" i="3" s="1"/>
  <c r="S31" i="3"/>
  <c r="K31" i="3" s="1"/>
  <c r="L31" i="3" s="1"/>
  <c r="S32" i="3"/>
  <c r="K32" i="3" s="1"/>
  <c r="L32" i="3" s="1"/>
  <c r="M32" i="3" s="1"/>
  <c r="S34" i="3"/>
  <c r="K34" i="3" s="1"/>
  <c r="L34" i="3" s="1"/>
  <c r="M34" i="3" s="1"/>
  <c r="M31" i="3" l="1"/>
  <c r="O34" i="3"/>
  <c r="P34" i="3"/>
  <c r="T34" i="3" s="1"/>
  <c r="N34" i="3"/>
  <c r="O32" i="3"/>
  <c r="P32" i="3"/>
  <c r="T32" i="3" s="1"/>
  <c r="O33" i="3"/>
  <c r="P33" i="3"/>
  <c r="T33" i="3" s="1"/>
  <c r="N30" i="3"/>
  <c r="O30" i="3"/>
  <c r="P30" i="3"/>
  <c r="T30" i="3" s="1"/>
  <c r="N32" i="3"/>
  <c r="N33" i="3"/>
  <c r="O31" i="3" l="1"/>
  <c r="P31" i="3"/>
  <c r="T31" i="3" s="1"/>
  <c r="B19" i="3" s="1"/>
  <c r="C10" i="2" s="1"/>
  <c r="N31" i="3"/>
</calcChain>
</file>

<file path=xl/sharedStrings.xml><?xml version="1.0" encoding="utf-8"?>
<sst xmlns="http://schemas.openxmlformats.org/spreadsheetml/2006/main" count="78" uniqueCount="63">
  <si>
    <t>BWF</t>
  </si>
  <si>
    <t>BPP</t>
  </si>
  <si>
    <t>Fmax</t>
  </si>
  <si>
    <t>Flim</t>
  </si>
  <si>
    <t>Fmin</t>
  </si>
  <si>
    <t>FPS</t>
  </si>
  <si>
    <t>MQ042xG-CM</t>
  </si>
  <si>
    <t>MQ042xG-CM TS</t>
  </si>
  <si>
    <t>MQ models:</t>
  </si>
  <si>
    <t>MQ022xG-CM</t>
  </si>
  <si>
    <t>MQ022xG-CM TS</t>
  </si>
  <si>
    <t>MQ003xG-CM</t>
  </si>
  <si>
    <t>Camera model:</t>
  </si>
  <si>
    <t xml:space="preserve">ROI height: </t>
  </si>
  <si>
    <t>ROI width:</t>
  </si>
  <si>
    <t>width max</t>
  </si>
  <si>
    <t>width min</t>
  </si>
  <si>
    <t>width increment</t>
  </si>
  <si>
    <t>height max</t>
  </si>
  <si>
    <t>height min</t>
  </si>
  <si>
    <t>height increment</t>
  </si>
  <si>
    <t xml:space="preserve">Readout t </t>
  </si>
  <si>
    <t>FR trig mode</t>
  </si>
  <si>
    <t>FR free run</t>
  </si>
  <si>
    <t>FR FPS mode</t>
  </si>
  <si>
    <t>MQ model</t>
  </si>
  <si>
    <t>Acquisition mode</t>
  </si>
  <si>
    <t>Bits Per Pixel:</t>
  </si>
  <si>
    <t>model id</t>
  </si>
  <si>
    <t>width scroll</t>
  </si>
  <si>
    <t>height scroll</t>
  </si>
  <si>
    <t>actual width</t>
  </si>
  <si>
    <t>actual height</t>
  </si>
  <si>
    <t>selected MQ model id</t>
  </si>
  <si>
    <t>Note: XI_RAW8 -&gt; 8;XI_RAW16 -&gt; 16; certain cameras support packing -&gt; 12</t>
  </si>
  <si>
    <t>BW_LIM_MIN</t>
  </si>
  <si>
    <t>BW_LIM_MAX</t>
  </si>
  <si>
    <t>bwl min</t>
  </si>
  <si>
    <t>bwl max</t>
  </si>
  <si>
    <t>selected BPP id</t>
  </si>
  <si>
    <t>selected mode id</t>
  </si>
  <si>
    <t>BPP id</t>
  </si>
  <si>
    <t>FREE RUN</t>
  </si>
  <si>
    <t>TRIGGERED</t>
  </si>
  <si>
    <t>id</t>
  </si>
  <si>
    <t>FR</t>
  </si>
  <si>
    <t>Acquisition mode:</t>
  </si>
  <si>
    <t>FRAME RATE [FPS]</t>
  </si>
  <si>
    <t>FLIM_calc</t>
  </si>
  <si>
    <t>[Mb/s]</t>
  </si>
  <si>
    <t>[us]</t>
  </si>
  <si>
    <t>Bits per pixel on TL:</t>
  </si>
  <si>
    <t>Bandwidth  limit :</t>
  </si>
  <si>
    <t>Exp. Time :</t>
  </si>
  <si>
    <t>frameTime = (height/subsampling+3)*(width/4/subsampling + 74.4 + line_extension)/master_ferq_MHz</t>
  </si>
  <si>
    <t>MQ013xG-ON FrameRate Calculation</t>
  </si>
  <si>
    <t>int</t>
  </si>
  <si>
    <t>freq =  bandwidth*(width/4/subsample + 74.4)/(bpp*width/subsample)+1</t>
  </si>
  <si>
    <t>line_extension = (bpp*width*freq)/(bandwidth*0.97)-(74.4+width/4/subsample)</t>
  </si>
  <si>
    <t>max 255</t>
  </si>
  <si>
    <t>DownSampling</t>
  </si>
  <si>
    <t>Downsampling:</t>
  </si>
  <si>
    <t>selected downsampling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</si>
</sst>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rgb="FF121212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2" applyNumberFormat="0" applyAlignment="0" applyProtection="0"/>
  </cellStyleXfs>
  <cellXfs count="2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2" xfId="2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4" fillId="5" borderId="5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4" fillId="5" borderId="8" xfId="0" applyFont="1" applyFill="1" applyBorder="1" applyAlignment="1">
      <alignment horizontal="center"/>
    </xf>
    <xf numFmtId="0" fontId="0" fillId="0" borderId="9" xfId="0" applyBorder="1"/>
    <xf numFmtId="0" fontId="2" fillId="3" borderId="10" xfId="2" applyBorder="1"/>
    <xf numFmtId="0" fontId="4" fillId="0" borderId="9" xfId="0" applyFont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4" xfId="0" applyBorder="1"/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3">
    <cellStyle name="Good" xfId="1" builtinId="26"/>
    <cellStyle name="Check Cell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Sheet3!$B$12" fmlaRange="Sheet3!$A$2:$A$7" noThreeD="1" sel="1" val="0"/>
</file>

<file path=xl/ctrlProps/ctrlProp2.xml><?xml version="1.0" encoding="utf-8"?>
<formControlPr xmlns="http://schemas.microsoft.com/office/spreadsheetml/2009/9/main" objectType="Scroll" dx="22" fmlaLink="Sheet3!$B$20" horiz="1" inc="16" max="2048" min="16" page="10" val="2048"/>
</file>

<file path=xl/ctrlProps/ctrlProp3.xml><?xml version="1.0" encoding="utf-8"?>
<formControlPr xmlns="http://schemas.microsoft.com/office/spreadsheetml/2009/9/main" objectType="Scroll" dx="22" fmlaLink="Sheet3!$B$21" horiz="1" inc="2" max="2048" min="2" page="10" val="2048"/>
</file>

<file path=xl/ctrlProps/ctrlProp4.xml><?xml version="1.0" encoding="utf-8"?>
<formControlPr xmlns="http://schemas.microsoft.com/office/spreadsheetml/2009/9/main" objectType="Drop" dropStyle="combo" dx="16" fmlaLink="Sheet3!$B$13" fmlaRange="Sheet3!$B$2:$B$4" noThreeD="1" sel="1" val="0"/>
</file>

<file path=xl/ctrlProps/ctrlProp5.xml><?xml version="1.0" encoding="utf-8"?>
<formControlPr xmlns="http://schemas.microsoft.com/office/spreadsheetml/2009/9/main" objectType="Drop" dropStyle="combo" dx="16" fmlaLink="Sheet3!$B$14" fmlaRange="Sheet3!$C$2:$C$4" noThreeD="1" sel="3" val="0"/>
</file>

<file path=xl/ctrlProps/ctrlProp6.xml><?xml version="1.0" encoding="utf-8"?>
<formControlPr xmlns="http://schemas.microsoft.com/office/spreadsheetml/2009/9/main" objectType="Drop" dropStyle="combo" dx="16" fmlaLink="Sheet3!$B$15" fmlaRange="Sheet3!$E$2:$E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1628775</xdr:colOff>
          <xdr:row>1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</xdr:row>
          <xdr:rowOff>9525</xdr:rowOff>
        </xdr:from>
        <xdr:to>
          <xdr:col>3</xdr:col>
          <xdr:colOff>742950</xdr:colOff>
          <xdr:row>5</xdr:row>
          <xdr:rowOff>171450</xdr:rowOff>
        </xdr:to>
        <xdr:sp macro="" textlink="">
          <xdr:nvSpPr>
            <xdr:cNvPr id="2062" name="Scroll Bar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9525</xdr:rowOff>
        </xdr:from>
        <xdr:to>
          <xdr:col>3</xdr:col>
          <xdr:colOff>733425</xdr:colOff>
          <xdr:row>6</xdr:row>
          <xdr:rowOff>171450</xdr:rowOff>
        </xdr:to>
        <xdr:sp macro="" textlink="">
          <xdr:nvSpPr>
            <xdr:cNvPr id="2063" name="Scroll Bar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4</xdr:col>
          <xdr:colOff>0</xdr:colOff>
          <xdr:row>4</xdr:row>
          <xdr:rowOff>0</xdr:rowOff>
        </xdr:to>
        <xdr:sp macro="" textlink="">
          <xdr:nvSpPr>
            <xdr:cNvPr id="2065" name="Drop Down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180975</xdr:rowOff>
        </xdr:from>
        <xdr:to>
          <xdr:col>4</xdr:col>
          <xdr:colOff>0</xdr:colOff>
          <xdr:row>2</xdr:row>
          <xdr:rowOff>180975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9525</xdr:rowOff>
        </xdr:from>
        <xdr:to>
          <xdr:col>4</xdr:col>
          <xdr:colOff>0</xdr:colOff>
          <xdr:row>5</xdr:row>
          <xdr:rowOff>0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F12"/>
  <sheetViews>
    <sheetView tabSelected="1" workbookViewId="0">
      <selection activeCell="J14" sqref="J14"/>
    </sheetView>
  </sheetViews>
  <sheetFormatPr defaultRowHeight="15" x14ac:dyDescent="0.25"/>
  <cols>
    <col min="1" max="1" width="3.28515625" customWidth="1"/>
    <col min="2" max="2" width="24.42578125" customWidth="1"/>
    <col min="3" max="3" width="12.7109375" style="3" customWidth="1"/>
    <col min="4" max="4" width="11.42578125" customWidth="1"/>
    <col min="5" max="5" width="20.5703125" customWidth="1"/>
  </cols>
  <sheetData>
    <row r="1" spans="2:6" ht="15.75" thickBot="1" x14ac:dyDescent="0.3"/>
    <row r="2" spans="2:6" x14ac:dyDescent="0.25">
      <c r="B2" s="8" t="s">
        <v>12</v>
      </c>
      <c r="C2" s="9"/>
      <c r="D2" s="10"/>
    </row>
    <row r="3" spans="2:6" x14ac:dyDescent="0.25">
      <c r="B3" s="11" t="s">
        <v>46</v>
      </c>
      <c r="C3" s="4"/>
      <c r="D3" s="12"/>
      <c r="E3" s="1"/>
      <c r="F3" t="s">
        <v>34</v>
      </c>
    </row>
    <row r="4" spans="2:6" x14ac:dyDescent="0.25">
      <c r="B4" s="11" t="s">
        <v>51</v>
      </c>
      <c r="C4" s="4"/>
      <c r="D4" s="12"/>
    </row>
    <row r="5" spans="2:6" ht="15.75" thickBot="1" x14ac:dyDescent="0.3">
      <c r="B5" s="11" t="s">
        <v>60</v>
      </c>
      <c r="C5" s="4"/>
      <c r="D5" s="12"/>
    </row>
    <row r="6" spans="2:6" ht="16.5" thickTop="1" thickBot="1" x14ac:dyDescent="0.3">
      <c r="B6" s="11" t="s">
        <v>14</v>
      </c>
      <c r="C6" s="5">
        <f>WIDTH</f>
        <v>2048</v>
      </c>
      <c r="D6" s="13"/>
    </row>
    <row r="7" spans="2:6" ht="16.5" thickTop="1" thickBot="1" x14ac:dyDescent="0.3">
      <c r="B7" s="11" t="s">
        <v>13</v>
      </c>
      <c r="C7" s="5">
        <f>HEIGHT</f>
        <v>2048</v>
      </c>
      <c r="D7" s="13"/>
    </row>
    <row r="8" spans="2:6" ht="15.75" thickTop="1" x14ac:dyDescent="0.25">
      <c r="B8" s="11" t="s">
        <v>52</v>
      </c>
      <c r="C8" s="6">
        <v>3200</v>
      </c>
      <c r="D8" s="14" t="s">
        <v>49</v>
      </c>
    </row>
    <row r="9" spans="2:6" x14ac:dyDescent="0.25">
      <c r="B9" s="15" t="s">
        <v>53</v>
      </c>
      <c r="C9" s="7">
        <v>0</v>
      </c>
      <c r="D9" s="16" t="s">
        <v>50</v>
      </c>
    </row>
    <row r="10" spans="2:6" ht="31.5" customHeight="1" thickBot="1" x14ac:dyDescent="0.3">
      <c r="B10" s="17" t="s">
        <v>47</v>
      </c>
      <c r="C10" s="23">
        <f>FRAMERATE</f>
        <v>90.31</v>
      </c>
      <c r="D10" s="24"/>
    </row>
    <row r="12" spans="2:6" ht="16.5" customHeight="1" x14ac:dyDescent="0.25">
      <c r="D12" s="2"/>
    </row>
  </sheetData>
  <mergeCells count="1">
    <mergeCell ref="C10:D10"/>
  </mergeCells>
  <dataValidations count="1">
    <dataValidation type="list" showInputMessage="1" showErrorMessage="1" sqref="C2">
      <formula1>CameraModels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3" name="Drop Down 7">
              <controlPr defaultSize="0" autoLine="0" autoPict="0">
                <anchor moveWithCells="1">
                  <from>
                    <xdr:col>1</xdr:col>
                    <xdr:colOff>1628775</xdr:colOff>
                    <xdr:row>1</xdr:row>
                    <xdr:rowOff>0</xdr:rowOff>
                  </from>
                  <to>
                    <xdr:col>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4" name="Scroll Bar 14">
              <controlPr defaultSize="0" autoPict="0">
                <anchor moveWithCells="1">
                  <from>
                    <xdr:col>3</xdr:col>
                    <xdr:colOff>9525</xdr:colOff>
                    <xdr:row>5</xdr:row>
                    <xdr:rowOff>9525</xdr:rowOff>
                  </from>
                  <to>
                    <xdr:col>3</xdr:col>
                    <xdr:colOff>742950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Scroll Bar 15">
              <controlPr defaultSize="0" autoPict="0">
                <anchor moveWithCells="1">
                  <from>
                    <xdr:col>3</xdr:col>
                    <xdr:colOff>0</xdr:colOff>
                    <xdr:row>6</xdr:row>
                    <xdr:rowOff>9525</xdr:rowOff>
                  </from>
                  <to>
                    <xdr:col>3</xdr:col>
                    <xdr:colOff>733425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" name="Drop Down 17">
              <controlPr defaultSize="0" autoLine="0" autoPict="0">
                <anchor moveWithCells="1">
                  <from>
                    <xdr:col>2</xdr:col>
                    <xdr:colOff>0</xdr:colOff>
                    <xdr:row>3</xdr:row>
                    <xdr:rowOff>0</xdr:rowOff>
                  </from>
                  <to>
                    <xdr:col>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Drop Down 18">
              <controlPr defaultSize="0" autoLine="0" autoPict="0">
                <anchor moveWithCells="1">
                  <from>
                    <xdr:col>2</xdr:col>
                    <xdr:colOff>0</xdr:colOff>
                    <xdr:row>1</xdr:row>
                    <xdr:rowOff>180975</xdr:rowOff>
                  </from>
                  <to>
                    <xdr:col>4</xdr:col>
                    <xdr:colOff>0</xdr:colOff>
                    <xdr:row>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Drop Down 19">
              <controlPr defaultSize="0" autoLine="0" autoPict="0">
                <anchor moveWithCells="1">
                  <from>
                    <xdr:col>2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value out of range">
          <x14:formula1>
            <xm:f>Sheet3!B25</xm:f>
          </x14:formula1>
          <x14:formula2>
            <xm:f>Sheet3!B24</xm:f>
          </x14:formula2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5"/>
  <sheetViews>
    <sheetView workbookViewId="0">
      <selection activeCell="G18" sqref="G18"/>
    </sheetView>
  </sheetViews>
  <sheetFormatPr defaultRowHeight="15" x14ac:dyDescent="0.25"/>
  <cols>
    <col min="1" max="1" width="29.28515625" customWidth="1"/>
    <col min="2" max="2" width="13.7109375" customWidth="1"/>
    <col min="3" max="3" width="17.5703125" customWidth="1"/>
    <col min="4" max="4" width="13.42578125" customWidth="1"/>
    <col min="5" max="5" width="17.7109375" customWidth="1"/>
    <col min="6" max="6" width="14.42578125" customWidth="1"/>
    <col min="7" max="7" width="15.42578125" customWidth="1"/>
    <col min="8" max="8" width="15" customWidth="1"/>
    <col min="13" max="13" width="12.42578125" customWidth="1"/>
    <col min="14" max="14" width="13.140625" customWidth="1"/>
    <col min="15" max="15" width="12.5703125" customWidth="1"/>
    <col min="16" max="16" width="14.5703125" customWidth="1"/>
    <col min="17" max="17" width="12.85546875" customWidth="1"/>
    <col min="18" max="18" width="12.5703125" customWidth="1"/>
  </cols>
  <sheetData>
    <row r="1" spans="1:5" ht="15.75" thickBot="1" x14ac:dyDescent="0.3">
      <c r="A1" s="22" t="s">
        <v>8</v>
      </c>
      <c r="B1" s="22" t="s">
        <v>27</v>
      </c>
      <c r="C1" s="22" t="s">
        <v>46</v>
      </c>
      <c r="E1" s="22" t="s">
        <v>61</v>
      </c>
    </row>
    <row r="2" spans="1:5" x14ac:dyDescent="0.25">
      <c r="A2" s="18" t="s">
        <v>6</v>
      </c>
      <c r="B2" s="20">
        <v>8</v>
      </c>
      <c r="C2" s="20" t="s">
        <v>43</v>
      </c>
      <c r="E2" s="20">
        <v>1</v>
      </c>
    </row>
    <row r="3" spans="1:5" x14ac:dyDescent="0.25">
      <c r="A3" s="18" t="s">
        <v>7</v>
      </c>
      <c r="B3" s="20">
        <v>12</v>
      </c>
      <c r="C3" s="20" t="s">
        <v>42</v>
      </c>
      <c r="E3" s="20" t="str">
        <f>IF(OR(MODEL_ID=5,MODEL_ID=6),2,"")</f>
        <v/>
      </c>
    </row>
    <row r="4" spans="1:5" ht="15.75" thickBot="1" x14ac:dyDescent="0.3">
      <c r="A4" s="18" t="s">
        <v>9</v>
      </c>
      <c r="B4" s="21">
        <v>16</v>
      </c>
      <c r="C4" s="21" t="s">
        <v>5</v>
      </c>
      <c r="E4" s="21" t="str">
        <f>IF(OR(MODEL_ID=5,MODEL_ID=6),4,"")</f>
        <v/>
      </c>
    </row>
    <row r="5" spans="1:5" x14ac:dyDescent="0.25">
      <c r="A5" s="18" t="s">
        <v>10</v>
      </c>
    </row>
    <row r="6" spans="1:5" ht="15.75" thickBot="1" x14ac:dyDescent="0.3">
      <c r="A6" s="19" t="s">
        <v>11</v>
      </c>
    </row>
    <row r="7" spans="1:5" x14ac:dyDescent="0.25">
      <c r="A7" s="18"/>
    </row>
    <row r="12" spans="1:5" x14ac:dyDescent="0.25">
      <c r="A12" t="s">
        <v>33</v>
      </c>
      <c r="B12">
        <v>1</v>
      </c>
    </row>
    <row r="13" spans="1:5" x14ac:dyDescent="0.25">
      <c r="A13" t="s">
        <v>39</v>
      </c>
      <c r="B13">
        <v>1</v>
      </c>
    </row>
    <row r="14" spans="1:5" x14ac:dyDescent="0.25">
      <c r="A14" t="s">
        <v>40</v>
      </c>
      <c r="B14">
        <v>3</v>
      </c>
    </row>
    <row r="15" spans="1:5" x14ac:dyDescent="0.25">
      <c r="A15" t="s">
        <v>62</v>
      </c>
      <c r="B15">
        <v>1</v>
      </c>
    </row>
    <row r="17" spans="1:20" x14ac:dyDescent="0.25">
      <c r="A17" t="s">
        <v>15</v>
      </c>
      <c r="B17">
        <f>VLOOKUP($B$12,$B$30:$P$34,2,FALSE)</f>
        <v>2048</v>
      </c>
    </row>
    <row r="18" spans="1:20" x14ac:dyDescent="0.25">
      <c r="A18" t="s">
        <v>18</v>
      </c>
      <c r="B18">
        <f>VLOOKUP($B$12,$B$30:$P$34,5,FALSE)</f>
        <v>2048</v>
      </c>
    </row>
    <row r="19" spans="1:20" x14ac:dyDescent="0.25">
      <c r="A19" t="s">
        <v>45</v>
      </c>
      <c r="B19">
        <f>VLOOKUP(B12,B29:T34,19,FALSE)</f>
        <v>90.31</v>
      </c>
    </row>
    <row r="20" spans="1:20" x14ac:dyDescent="0.25">
      <c r="A20" t="s">
        <v>29</v>
      </c>
      <c r="B20">
        <v>2048</v>
      </c>
    </row>
    <row r="21" spans="1:20" x14ac:dyDescent="0.25">
      <c r="A21" t="s">
        <v>30</v>
      </c>
      <c r="B21">
        <v>2048</v>
      </c>
    </row>
    <row r="22" spans="1:20" x14ac:dyDescent="0.25">
      <c r="A22" t="s">
        <v>31</v>
      </c>
      <c r="B22">
        <f>16*QUOTIENT(WIDTH_SCROLL*WIDTH_MAX/2048,16)</f>
        <v>2048</v>
      </c>
    </row>
    <row r="23" spans="1:20" x14ac:dyDescent="0.25">
      <c r="A23" t="s">
        <v>32</v>
      </c>
      <c r="B23">
        <f>2*QUOTIENT(HEIGHT_SCROLL*HEIGHT_MAX/2048,2)</f>
        <v>2048</v>
      </c>
    </row>
    <row r="24" spans="1:20" x14ac:dyDescent="0.25">
      <c r="A24" t="s">
        <v>38</v>
      </c>
      <c r="B24">
        <f>VLOOKUP($B$12,$B$30:$R$34,16,FALSE)</f>
        <v>3600</v>
      </c>
    </row>
    <row r="25" spans="1:20" x14ac:dyDescent="0.25">
      <c r="A25" t="s">
        <v>37</v>
      </c>
      <c r="B25">
        <f>VLOOKUP($B$12,$B$30:$R$34,17,FALSE)</f>
        <v>80</v>
      </c>
    </row>
    <row r="26" spans="1:20" x14ac:dyDescent="0.25">
      <c r="A26" t="s">
        <v>1</v>
      </c>
      <c r="B26">
        <f>VLOOKUP(B13,B38:C40,2,FALSE)</f>
        <v>8</v>
      </c>
    </row>
    <row r="29" spans="1:20" x14ac:dyDescent="0.25">
      <c r="A29" t="s">
        <v>25</v>
      </c>
      <c r="B29" t="s">
        <v>28</v>
      </c>
      <c r="C29" t="s">
        <v>15</v>
      </c>
      <c r="D29" t="s">
        <v>16</v>
      </c>
      <c r="E29" t="s">
        <v>17</v>
      </c>
      <c r="F29" t="s">
        <v>18</v>
      </c>
      <c r="G29" t="s">
        <v>19</v>
      </c>
      <c r="H29" t="s">
        <v>20</v>
      </c>
      <c r="I29" t="s">
        <v>4</v>
      </c>
      <c r="J29" t="s">
        <v>2</v>
      </c>
      <c r="K29" t="s">
        <v>3</v>
      </c>
      <c r="L29" t="s">
        <v>0</v>
      </c>
      <c r="M29" t="s">
        <v>21</v>
      </c>
      <c r="N29" t="s">
        <v>22</v>
      </c>
      <c r="O29" t="s">
        <v>23</v>
      </c>
      <c r="P29" t="s">
        <v>24</v>
      </c>
      <c r="Q29" t="s">
        <v>36</v>
      </c>
      <c r="R29" t="s">
        <v>35</v>
      </c>
      <c r="S29" t="s">
        <v>48</v>
      </c>
      <c r="T29" t="s">
        <v>45</v>
      </c>
    </row>
    <row r="30" spans="1:20" x14ac:dyDescent="0.25">
      <c r="A30" t="s">
        <v>6</v>
      </c>
      <c r="B30">
        <v>1</v>
      </c>
      <c r="C30">
        <v>2048</v>
      </c>
      <c r="D30">
        <v>16</v>
      </c>
      <c r="E30">
        <v>16</v>
      </c>
      <c r="F30">
        <v>2048</v>
      </c>
      <c r="G30">
        <v>2</v>
      </c>
      <c r="H30">
        <v>2</v>
      </c>
      <c r="I30">
        <v>5</v>
      </c>
      <c r="J30">
        <v>48</v>
      </c>
      <c r="K30">
        <f t="shared" ref="K30:K33" si="0">IF(S30&gt;J30,J30,IF(S30&lt;I30,I30,ROUNDDOWN(S30,0)))</f>
        <v>48</v>
      </c>
      <c r="L30">
        <f>J30/K30</f>
        <v>1</v>
      </c>
      <c r="M30" s="1">
        <f>(64.5+5.375*HEIGHT)*L30</f>
        <v>11072.5</v>
      </c>
      <c r="N30">
        <f t="shared" ref="N30:P33" si="1">ROUNDDOWN(IF(EXPOSURE&gt;$M30,1000000/EXPOSURE,1000000/$M30),2)</f>
        <v>90.31</v>
      </c>
      <c r="O30">
        <f t="shared" si="1"/>
        <v>90.31</v>
      </c>
      <c r="P30">
        <f t="shared" si="1"/>
        <v>90.31</v>
      </c>
      <c r="Q30">
        <v>3600</v>
      </c>
      <c r="R30">
        <v>80</v>
      </c>
      <c r="S30" s="1">
        <f>((129*BWL)/(1024*BPP))*((12+HEIGHT)/HEIGHT)*(WIDTH_MAX/WIDTH)</f>
        <v>50.685882568359375</v>
      </c>
      <c r="T30">
        <f>IF(MODE_ID=1,N30,IF(MODE_ID=2,O30,IF(MODE_ID=3,P30)))</f>
        <v>90.31</v>
      </c>
    </row>
    <row r="31" spans="1:20" x14ac:dyDescent="0.25">
      <c r="A31" t="s">
        <v>7</v>
      </c>
      <c r="B31">
        <v>2</v>
      </c>
      <c r="C31">
        <v>2048</v>
      </c>
      <c r="D31">
        <v>16</v>
      </c>
      <c r="E31">
        <v>16</v>
      </c>
      <c r="F31">
        <v>2048</v>
      </c>
      <c r="G31">
        <v>2</v>
      </c>
      <c r="H31">
        <v>2</v>
      </c>
      <c r="I31">
        <v>20</v>
      </c>
      <c r="J31">
        <v>48</v>
      </c>
      <c r="K31">
        <f t="shared" si="0"/>
        <v>48</v>
      </c>
      <c r="L31">
        <f t="shared" ref="L31:L34" si="2">J31/K31</f>
        <v>1</v>
      </c>
      <c r="M31" s="1">
        <f>(64.5+5.375*HEIGHT)*L30</f>
        <v>11072.5</v>
      </c>
      <c r="N31">
        <f t="shared" si="1"/>
        <v>90.31</v>
      </c>
      <c r="O31">
        <f t="shared" si="1"/>
        <v>90.31</v>
      </c>
      <c r="P31">
        <f t="shared" si="1"/>
        <v>90.31</v>
      </c>
      <c r="Q31">
        <v>3600</v>
      </c>
      <c r="R31">
        <v>725</v>
      </c>
      <c r="S31">
        <f>((129*BWL)/(1024*BPP))*((12+HEIGHT)/HEIGHT)*(WIDTH_MAX/WIDTH)</f>
        <v>50.685882568359375</v>
      </c>
      <c r="T31">
        <f>IF(MODE_ID=1,N31,IF(MODE_ID=2,O31,IF(MODE_ID=3,P31)))</f>
        <v>90.31</v>
      </c>
    </row>
    <row r="32" spans="1:20" x14ac:dyDescent="0.25">
      <c r="A32" t="s">
        <v>9</v>
      </c>
      <c r="B32">
        <v>3</v>
      </c>
      <c r="C32">
        <v>2048</v>
      </c>
      <c r="D32">
        <v>16</v>
      </c>
      <c r="E32">
        <v>16</v>
      </c>
      <c r="F32">
        <v>1088</v>
      </c>
      <c r="G32">
        <v>2</v>
      </c>
      <c r="H32">
        <v>2</v>
      </c>
      <c r="I32">
        <v>5</v>
      </c>
      <c r="J32">
        <v>48</v>
      </c>
      <c r="K32">
        <f t="shared" si="0"/>
        <v>48</v>
      </c>
      <c r="L32">
        <f t="shared" si="2"/>
        <v>1</v>
      </c>
      <c r="M32" s="1">
        <f>(37.625+5.375*HEIGHT)*L32</f>
        <v>11045.625</v>
      </c>
      <c r="N32">
        <f t="shared" si="1"/>
        <v>90.53</v>
      </c>
      <c r="O32">
        <f t="shared" si="1"/>
        <v>90.53</v>
      </c>
      <c r="P32">
        <f t="shared" si="1"/>
        <v>90.53</v>
      </c>
      <c r="Q32">
        <v>3600</v>
      </c>
      <c r="R32">
        <v>80</v>
      </c>
      <c r="S32">
        <f>((129*BWL)/(1024*BPP))*((12+HEIGHT)/HEIGHT)*(WIDTH_MAX/WIDTH)</f>
        <v>50.685882568359375</v>
      </c>
      <c r="T32">
        <f>IF(MODE_ID=1,N32,IF(MODE_ID=2,O32,IF(MODE_ID=3,P32)))</f>
        <v>90.53</v>
      </c>
    </row>
    <row r="33" spans="1:20" x14ac:dyDescent="0.25">
      <c r="A33" t="s">
        <v>10</v>
      </c>
      <c r="B33">
        <v>4</v>
      </c>
      <c r="C33">
        <v>2048</v>
      </c>
      <c r="D33">
        <v>16</v>
      </c>
      <c r="E33">
        <v>16</v>
      </c>
      <c r="F33">
        <v>1088</v>
      </c>
      <c r="G33">
        <v>2</v>
      </c>
      <c r="H33">
        <v>2</v>
      </c>
      <c r="I33">
        <v>20</v>
      </c>
      <c r="J33">
        <v>48</v>
      </c>
      <c r="K33">
        <f t="shared" si="0"/>
        <v>48</v>
      </c>
      <c r="L33">
        <f t="shared" si="2"/>
        <v>1</v>
      </c>
      <c r="M33" s="1">
        <f>(37.625+5.375*HEIGHT)*L33</f>
        <v>11045.625</v>
      </c>
      <c r="N33">
        <f t="shared" si="1"/>
        <v>90.53</v>
      </c>
      <c r="O33">
        <f t="shared" si="1"/>
        <v>90.53</v>
      </c>
      <c r="P33">
        <f t="shared" si="1"/>
        <v>90.53</v>
      </c>
      <c r="Q33">
        <v>3600</v>
      </c>
      <c r="R33">
        <v>725</v>
      </c>
      <c r="S33">
        <f>((129*BWL)/(1024*BPP))*((12+HEIGHT)/HEIGHT)*(WIDTH_MAX/WIDTH)</f>
        <v>50.685882568359375</v>
      </c>
      <c r="T33">
        <f>IF(MODE_ID=1,N33,IF(MODE_ID=2,O33,IF(MODE_ID=3,P33)))</f>
        <v>90.53</v>
      </c>
    </row>
    <row r="34" spans="1:20" x14ac:dyDescent="0.25">
      <c r="A34" t="s">
        <v>11</v>
      </c>
      <c r="B34">
        <v>5</v>
      </c>
      <c r="C34">
        <v>648</v>
      </c>
      <c r="D34">
        <v>16</v>
      </c>
      <c r="E34">
        <v>16</v>
      </c>
      <c r="F34">
        <v>488</v>
      </c>
      <c r="G34">
        <v>2</v>
      </c>
      <c r="H34">
        <v>2</v>
      </c>
      <c r="I34">
        <v>38</v>
      </c>
      <c r="J34">
        <v>42</v>
      </c>
      <c r="K34">
        <f>IF(S34&gt;J34,J34,IF(S34&lt;I34,I34,ROUNDDOWN(S34,0)))</f>
        <v>42</v>
      </c>
      <c r="L34">
        <f t="shared" si="2"/>
        <v>1</v>
      </c>
      <c r="M34" s="1">
        <f>(92.8 + 3.78 * HEIGHT)*L34</f>
        <v>7834.24</v>
      </c>
      <c r="N34">
        <f>ROUNDDOWN(IF(EXPOSURE&gt;$M34,1000000/EXPOSURE,1000000/$M34),2)</f>
        <v>127.64</v>
      </c>
      <c r="O34">
        <f>ROUNDDOWN(IF(EXPOSURE&gt;$M34,1000000/EXPOSURE,1000000/$M34),2)</f>
        <v>127.64</v>
      </c>
      <c r="P34">
        <f>ROUNDDOWN(IF(EXPOSURE&gt;$M34,1000000/EXPOSURE,1000000/$M34),2)</f>
        <v>127.64</v>
      </c>
      <c r="Q34">
        <v>3600</v>
      </c>
      <c r="R34">
        <v>1032</v>
      </c>
      <c r="S34">
        <f>((325*BWL)/(316224*BPP))*(13+HEIGHT/2)*(WIDTH_MAX/WIDTH)</f>
        <v>426.31172839506172</v>
      </c>
      <c r="T34">
        <f>IF(MODE_ID=1,N34,IF(MODE_ID=2,O34,IF(MODE_ID=3,P34)))</f>
        <v>127.64</v>
      </c>
    </row>
    <row r="36" spans="1:20" x14ac:dyDescent="0.25">
      <c r="A36" t="s">
        <v>1</v>
      </c>
    </row>
    <row r="37" spans="1:20" x14ac:dyDescent="0.25">
      <c r="B37" t="s">
        <v>41</v>
      </c>
      <c r="C37" t="s">
        <v>1</v>
      </c>
    </row>
    <row r="38" spans="1:20" x14ac:dyDescent="0.25">
      <c r="B38">
        <v>1</v>
      </c>
      <c r="C38">
        <v>8</v>
      </c>
    </row>
    <row r="39" spans="1:20" x14ac:dyDescent="0.25">
      <c r="B39">
        <v>2</v>
      </c>
      <c r="C39">
        <v>12</v>
      </c>
    </row>
    <row r="40" spans="1:20" x14ac:dyDescent="0.25">
      <c r="B40">
        <v>3</v>
      </c>
      <c r="C40">
        <v>16</v>
      </c>
    </row>
    <row r="42" spans="1:20" x14ac:dyDescent="0.25">
      <c r="A42" t="s">
        <v>26</v>
      </c>
      <c r="B42" t="s">
        <v>44</v>
      </c>
    </row>
    <row r="43" spans="1:20" x14ac:dyDescent="0.25">
      <c r="A43" t="s">
        <v>43</v>
      </c>
      <c r="B43">
        <v>1</v>
      </c>
    </row>
    <row r="44" spans="1:20" x14ac:dyDescent="0.25">
      <c r="A44" t="s">
        <v>42</v>
      </c>
      <c r="B44">
        <v>2</v>
      </c>
    </row>
    <row r="45" spans="1:20" x14ac:dyDescent="0.25">
      <c r="A45" t="s">
        <v>5</v>
      </c>
      <c r="B45">
        <v>3</v>
      </c>
    </row>
    <row r="51" spans="1:7" x14ac:dyDescent="0.25">
      <c r="A51" t="s">
        <v>55</v>
      </c>
    </row>
    <row r="52" spans="1:7" x14ac:dyDescent="0.25">
      <c r="B52" t="s">
        <v>54</v>
      </c>
    </row>
    <row r="54" spans="1:7" x14ac:dyDescent="0.25">
      <c r="A54" t="s">
        <v>56</v>
      </c>
      <c r="B54" t="s">
        <v>57</v>
      </c>
    </row>
    <row r="55" spans="1:7" x14ac:dyDescent="0.25">
      <c r="A55" t="s">
        <v>56</v>
      </c>
      <c r="B55" t="s">
        <v>58</v>
      </c>
      <c r="G5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 (2)</vt:lpstr>
      <vt:lpstr>Sheet3</vt:lpstr>
      <vt:lpstr>ACQUISITION_MODE</vt:lpstr>
      <vt:lpstr>BPP</vt:lpstr>
      <vt:lpstr>BWL</vt:lpstr>
      <vt:lpstr>CameraModels</vt:lpstr>
      <vt:lpstr>EXPOSURE</vt:lpstr>
      <vt:lpstr>FRAMERATE</vt:lpstr>
      <vt:lpstr>HEIGHT</vt:lpstr>
      <vt:lpstr>HEIGHT_MAX</vt:lpstr>
      <vt:lpstr>HEIGHT_SCROLL</vt:lpstr>
      <vt:lpstr>MODE_ID</vt:lpstr>
      <vt:lpstr>MODEL_ID</vt:lpstr>
      <vt:lpstr>WIDTH</vt:lpstr>
      <vt:lpstr>WIDTH_MAX</vt:lpstr>
      <vt:lpstr>WIDTH_SCROLL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tester</dc:creator>
  <cp:lastModifiedBy>tester</cp:lastModifiedBy>
  <dcterms:created xsi:type="dcterms:W3CDTF">2015-01-20T16:31:01Z</dcterms:created>
  <dcterms:modified xsi:type="dcterms:W3CDTF">2015-02-18T14:47:10Z</dcterms:modified>
</cp:coreProperties>
</file>