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Projects\CustomerDocs\Calculators\"/>
    </mc:Choice>
  </mc:AlternateContent>
  <bookViews>
    <workbookView xWindow="0" yWindow="0" windowWidth="33240" windowHeight="16515" tabRatio="610"/>
  </bookViews>
  <sheets>
    <sheet name="About" sheetId="12" r:id="rId1"/>
    <sheet name="CMV12000 " sheetId="3" r:id="rId2"/>
    <sheet name="CMV20000" sheetId="4" r:id="rId3"/>
    <sheet name="CMV50000" sheetId="14" r:id="rId4"/>
    <sheet name="IMX287" sheetId="15" r:id="rId5"/>
    <sheet name="IMX273" sheetId="16" r:id="rId6"/>
    <sheet name="IMX174" sheetId="6" r:id="rId7"/>
    <sheet name="IMX252" sheetId="9" r:id="rId8"/>
    <sheet name="IMX250" sheetId="7" r:id="rId9"/>
    <sheet name="IMX255" sheetId="11" r:id="rId10"/>
    <sheet name="IMX253" sheetId="10" r:id="rId11"/>
    <sheet name="GSENSE2020" sheetId="17" r:id="rId12"/>
    <sheet name="GSENSE2020-BSI" sheetId="1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8" l="1"/>
  <c r="G22" i="18" l="1"/>
  <c r="G17" i="18"/>
  <c r="D10" i="18" s="1"/>
  <c r="B17" i="18"/>
  <c r="B18" i="18" s="1"/>
  <c r="G20" i="18"/>
  <c r="B25" i="10"/>
  <c r="G18" i="18"/>
  <c r="B25" i="18" l="1"/>
  <c r="B21" i="18" l="1"/>
  <c r="B29" i="18"/>
  <c r="D29" i="18" s="1"/>
  <c r="G23" i="17"/>
  <c r="G22" i="17"/>
  <c r="G20" i="17"/>
  <c r="G19" i="17"/>
  <c r="G18" i="17"/>
  <c r="B26" i="17"/>
  <c r="B25" i="17"/>
  <c r="B17" i="17"/>
  <c r="B22" i="18" l="1"/>
  <c r="B18" i="17"/>
  <c r="B29" i="17" s="1"/>
  <c r="D29" i="17" s="1"/>
  <c r="B20" i="17"/>
  <c r="B21" i="17" s="1"/>
  <c r="B25" i="16"/>
  <c r="B24" i="16"/>
  <c r="D10" i="16" s="1"/>
  <c r="G22" i="16"/>
  <c r="G21" i="16"/>
  <c r="G20" i="16"/>
  <c r="B19" i="16" s="1"/>
  <c r="B20" i="16" s="1"/>
  <c r="G17" i="16"/>
  <c r="B17" i="16"/>
  <c r="G16" i="16"/>
  <c r="B16" i="16"/>
  <c r="D12" i="16"/>
  <c r="B25" i="15"/>
  <c r="B24" i="15"/>
  <c r="D10" i="15" s="1"/>
  <c r="G22" i="15"/>
  <c r="G21" i="15"/>
  <c r="G20" i="15"/>
  <c r="B19" i="15" s="1"/>
  <c r="G17" i="15"/>
  <c r="B17" i="15"/>
  <c r="G16" i="15"/>
  <c r="B16" i="15"/>
  <c r="D12" i="15"/>
  <c r="G18" i="15"/>
  <c r="G18" i="16"/>
  <c r="B22" i="17" l="1"/>
  <c r="B28" i="15"/>
  <c r="D28" i="15" s="1"/>
  <c r="B28" i="16"/>
  <c r="D28" i="16" s="1"/>
  <c r="G19" i="16"/>
  <c r="B21" i="16"/>
  <c r="G19" i="15"/>
  <c r="B20" i="15"/>
  <c r="B21" i="15"/>
  <c r="G22" i="14" l="1"/>
  <c r="G21" i="14"/>
  <c r="G20" i="14"/>
  <c r="G19" i="14"/>
  <c r="B25" i="14"/>
  <c r="B24" i="14"/>
  <c r="B17" i="14"/>
  <c r="B16" i="14"/>
  <c r="B19" i="14" l="1"/>
  <c r="B20" i="14" s="1"/>
  <c r="B28" i="14"/>
  <c r="D28" i="14" s="1"/>
  <c r="G21" i="6"/>
  <c r="B21" i="14" l="1"/>
  <c r="G19" i="6"/>
  <c r="G16" i="6"/>
  <c r="G15" i="6"/>
  <c r="G17" i="6"/>
  <c r="G18" i="6" l="1"/>
  <c r="G20" i="11" l="1"/>
  <c r="G20" i="10"/>
  <c r="D11" i="4" l="1"/>
  <c r="B16" i="4" l="1"/>
  <c r="G18" i="3" l="1"/>
  <c r="B17" i="3" l="1"/>
  <c r="B18" i="3" s="1"/>
  <c r="G20" i="3" l="1"/>
  <c r="G19" i="3"/>
  <c r="G17" i="3"/>
  <c r="G21" i="3"/>
  <c r="G22" i="3"/>
  <c r="G24" i="3" l="1"/>
  <c r="D13" i="3"/>
  <c r="B25" i="3"/>
  <c r="D11" i="3"/>
  <c r="B24" i="3" s="1"/>
  <c r="E11" i="3"/>
  <c r="B17" i="10"/>
  <c r="B17" i="11"/>
  <c r="B17" i="7"/>
  <c r="B17" i="9"/>
  <c r="B16" i="6"/>
  <c r="G23" i="3" l="1"/>
  <c r="G26" i="3"/>
  <c r="B28" i="3" s="1"/>
  <c r="D29" i="3" s="1"/>
  <c r="G21" i="7"/>
  <c r="D28" i="3" l="1"/>
  <c r="G21" i="10"/>
  <c r="G21" i="11"/>
  <c r="G21" i="9"/>
  <c r="G20" i="6"/>
  <c r="G20" i="7" l="1"/>
  <c r="G20" i="9"/>
  <c r="B18" i="6" l="1"/>
  <c r="B25" i="11" l="1"/>
  <c r="B25" i="7"/>
  <c r="B25" i="9"/>
  <c r="B24" i="6"/>
  <c r="B19" i="10" l="1"/>
  <c r="B19" i="11"/>
  <c r="B19" i="9"/>
  <c r="G22" i="7"/>
  <c r="B24" i="7"/>
  <c r="B16" i="7"/>
  <c r="B24" i="11"/>
  <c r="B16" i="11"/>
  <c r="G22" i="11"/>
  <c r="D12" i="11"/>
  <c r="D12" i="10"/>
  <c r="D12" i="9"/>
  <c r="D12" i="7"/>
  <c r="B24" i="10"/>
  <c r="B16" i="10"/>
  <c r="G22" i="10"/>
  <c r="G17" i="10"/>
  <c r="G16" i="10"/>
  <c r="B24" i="9"/>
  <c r="B16" i="9"/>
  <c r="G22" i="9"/>
  <c r="G17" i="9"/>
  <c r="G16" i="9"/>
  <c r="G17" i="7"/>
  <c r="G16" i="7"/>
  <c r="G18" i="7"/>
  <c r="G18" i="9"/>
  <c r="G18" i="10"/>
  <c r="B28" i="9" l="1"/>
  <c r="B20" i="9"/>
  <c r="B21" i="9"/>
  <c r="B28" i="11"/>
  <c r="D28" i="11" s="1"/>
  <c r="B21" i="11"/>
  <c r="B20" i="11"/>
  <c r="B21" i="10"/>
  <c r="B28" i="10"/>
  <c r="D28" i="10" s="1"/>
  <c r="B20" i="10"/>
  <c r="G19" i="10"/>
  <c r="G19" i="9"/>
  <c r="G19" i="7"/>
  <c r="D10" i="7" l="1"/>
  <c r="B28" i="7"/>
  <c r="B19" i="7"/>
  <c r="B20" i="7" l="1"/>
  <c r="B21" i="7"/>
  <c r="D11" i="6" l="1"/>
  <c r="G17" i="11" l="1"/>
  <c r="G16" i="11"/>
  <c r="B15" i="6"/>
  <c r="B27" i="6" s="1"/>
  <c r="G15" i="4"/>
  <c r="G16" i="4" s="1"/>
  <c r="B23" i="4" s="1"/>
  <c r="B15" i="4"/>
  <c r="G18" i="11"/>
  <c r="B17" i="4" l="1"/>
  <c r="E9" i="4"/>
  <c r="D9" i="4"/>
  <c r="G17" i="4"/>
  <c r="G18" i="4"/>
  <c r="B26" i="4" s="1"/>
  <c r="B22" i="4"/>
  <c r="G19" i="11"/>
  <c r="D10" i="10"/>
  <c r="D10" i="9"/>
  <c r="D10" i="11"/>
  <c r="B18" i="4" l="1"/>
  <c r="D26" i="4"/>
  <c r="D27" i="4"/>
  <c r="D28" i="7"/>
  <c r="B19" i="4" l="1"/>
  <c r="B19" i="3"/>
  <c r="D28" i="9"/>
  <c r="B20" i="6"/>
  <c r="D27" i="6"/>
  <c r="B23" i="6"/>
  <c r="D9" i="6" s="1"/>
  <c r="B20" i="3" l="1"/>
  <c r="B21" i="3"/>
  <c r="B19" i="6"/>
</calcChain>
</file>

<file path=xl/sharedStrings.xml><?xml version="1.0" encoding="utf-8"?>
<sst xmlns="http://schemas.openxmlformats.org/spreadsheetml/2006/main" count="1122" uniqueCount="176">
  <si>
    <t>[count]</t>
  </si>
  <si>
    <t>[MHz]</t>
  </si>
  <si>
    <t>clk_per</t>
  </si>
  <si>
    <t>[ns]</t>
  </si>
  <si>
    <t>FOT</t>
  </si>
  <si>
    <t>[us]</t>
  </si>
  <si>
    <t>[ms]</t>
  </si>
  <si>
    <t>Frame Time</t>
  </si>
  <si>
    <t>Value</t>
  </si>
  <si>
    <t>Setting</t>
  </si>
  <si>
    <t>Units</t>
  </si>
  <si>
    <t>min</t>
  </si>
  <si>
    <t>max</t>
  </si>
  <si>
    <t>Note</t>
  </si>
  <si>
    <t>Min Exposure Time</t>
  </si>
  <si>
    <t>Actual Exposure Time</t>
  </si>
  <si>
    <t>Exposure times</t>
  </si>
  <si>
    <t>Frame Transfer</t>
  </si>
  <si>
    <t>Average Transfer Speed</t>
  </si>
  <si>
    <t>[MB/s]</t>
  </si>
  <si>
    <t>Max FPS</t>
  </si>
  <si>
    <t>Image Size</t>
  </si>
  <si>
    <t>[Mpix]</t>
  </si>
  <si>
    <t>ROI Width</t>
  </si>
  <si>
    <t>Results</t>
  </si>
  <si>
    <t>Line Time</t>
  </si>
  <si>
    <t>reg 82</t>
  </si>
  <si>
    <t>Readout time</t>
  </si>
  <si>
    <t>Sensor Readout Frequency</t>
  </si>
  <si>
    <t>ROI Height</t>
  </si>
  <si>
    <t>Calculations</t>
  </si>
  <si>
    <t>Data Rate of Sensor image data output</t>
  </si>
  <si>
    <t>ROI in Y direction decreases frame readout time (decreases number of lines that need to be read out before going to next frame)</t>
  </si>
  <si>
    <t>ROI in X direction decreases average transport bandwidth needed to transfer one frame (the whole line is read from sensor but only ROI part is sent)</t>
  </si>
  <si>
    <t>Actual Exposure Time depends on the Exp_Time, FOT and Clk_freq</t>
  </si>
  <si>
    <t>[MBytes]</t>
  </si>
  <si>
    <t>Pixel Count</t>
  </si>
  <si>
    <t>reg 85</t>
  </si>
  <si>
    <t>Acquisition Mode</t>
  </si>
  <si>
    <t>Readout lines</t>
  </si>
  <si>
    <t>Normal</t>
  </si>
  <si>
    <t>master clk_per</t>
  </si>
  <si>
    <t>master clock</t>
  </si>
  <si>
    <t>Readout Time</t>
  </si>
  <si>
    <t>Data Rate of Sensor image data output; Note: CB120 camera implementation has 480MHz limit @8bit mode</t>
  </si>
  <si>
    <t>Channel Count</t>
  </si>
  <si>
    <t>Channel Count per Side</t>
  </si>
  <si>
    <t>reg82</t>
  </si>
  <si>
    <t>reg85</t>
  </si>
  <si>
    <t>Subsample 2x2</t>
  </si>
  <si>
    <t>Binning 2x2</t>
  </si>
  <si>
    <t>Register Presets</t>
  </si>
  <si>
    <t>mode number</t>
  </si>
  <si>
    <t>channel count log</t>
  </si>
  <si>
    <t>bit depth number</t>
  </si>
  <si>
    <t>8bit</t>
  </si>
  <si>
    <t>10bit</t>
  </si>
  <si>
    <t>12bit</t>
  </si>
  <si>
    <t>Exp time reg</t>
  </si>
  <si>
    <t>IMX174 supports 2; 4; or 8 channels</t>
  </si>
  <si>
    <t>HMAX</t>
  </si>
  <si>
    <t>IMX174 supports 10 and 12 bit depth</t>
  </si>
  <si>
    <t>IMX250 supports 8; 10 and 12 bit depth</t>
  </si>
  <si>
    <t>IMX250 supports 4; 8; or 16 channels</t>
  </si>
  <si>
    <t>Binning</t>
  </si>
  <si>
    <t>Only Mono IMX250 supports Binning</t>
  </si>
  <si>
    <t>1x1</t>
  </si>
  <si>
    <t>Only Mono IMX252 supports Binning</t>
  </si>
  <si>
    <t>IMX252 supports 8; 10 and 12 bit depth</t>
  </si>
  <si>
    <t>IMX252 supports 4; 8; or 16 channels</t>
  </si>
  <si>
    <t>Decimation</t>
  </si>
  <si>
    <t>Binning/Decimation: vertical x horizontal</t>
  </si>
  <si>
    <t>Decimation Xx2</t>
  </si>
  <si>
    <t>Only Mono IMX253 supports Binning</t>
  </si>
  <si>
    <t>IMX253 supports 8; 10 and 12 bit depth</t>
  </si>
  <si>
    <t>IMX253 supports 4; 8; or 16 channels</t>
  </si>
  <si>
    <t>Only Mono IMX255 supports Binning</t>
  </si>
  <si>
    <t>IMX255 supports 8; 10 and 12 bit depth</t>
  </si>
  <si>
    <t>IMX255 supports 4; 8; or 16 channels</t>
  </si>
  <si>
    <t>This document contains multiple calculators for different sensors. Each is located in different sheet.</t>
  </si>
  <si>
    <t>Usage:</t>
  </si>
  <si>
    <t>Camera Model</t>
  </si>
  <si>
    <t>CB120xG-CM has PCIe x4 Gen2 interface (1750MB/s); CB120xG-CM-X8G3 with PCIe x8 Gen3 interface (7000MB/s)</t>
  </si>
  <si>
    <t xml:space="preserve">Exp time </t>
  </si>
  <si>
    <t>Sensor Bit Depth</t>
  </si>
  <si>
    <t>Transport Bit Depth</t>
  </si>
  <si>
    <t>H period min</t>
  </si>
  <si>
    <t xml:space="preserve">Link Throughput </t>
  </si>
  <si>
    <t xml:space="preserve">[MB/s] </t>
  </si>
  <si>
    <t>Exp Time</t>
  </si>
  <si>
    <t>Line Period</t>
  </si>
  <si>
    <t>Interface max</t>
  </si>
  <si>
    <t>Transport</t>
  </si>
  <si>
    <t>Frame</t>
  </si>
  <si>
    <t>Troughput Limit</t>
  </si>
  <si>
    <t>xiApi parameter</t>
  </si>
  <si>
    <t xml:space="preserve">XI_PRM_SENSOR_DATA_BIT_DEPTH </t>
  </si>
  <si>
    <t>XI_PRM_SENSOR_OUTPUT_CHANNEL_COUNT</t>
  </si>
  <si>
    <t>XI_PRM_WIDTH</t>
  </si>
  <si>
    <t>XI_PRM_HEIGHT</t>
  </si>
  <si>
    <t>XI_PRM_EXPOSURE</t>
  </si>
  <si>
    <t>XI_PRM_OUTPUT_DATA_BIT_DEPTH</t>
  </si>
  <si>
    <t>XI_PRM_LIMIT_BANDWIDTH</t>
  </si>
  <si>
    <t>HMAX reg min</t>
  </si>
  <si>
    <t>Adjusts Line Period (it affects the granularity of exposure time)</t>
  </si>
  <si>
    <t xml:space="preserve">XI_PRM_BINNING_VERTICAL; XI_PRM_BINNING_HORIZONTAL </t>
  </si>
  <si>
    <t>XI_PRM_DECIMATION_VERTICAL; XI_PRM_DECIMATION_HORIZONTAL</t>
  </si>
  <si>
    <t>1. Enable macros (if you see yellow bar on the top, the macros are probably disabled).</t>
  </si>
  <si>
    <t>3. Fill settings (orange)</t>
  </si>
  <si>
    <t>4. Use results (green)</t>
  </si>
  <si>
    <t>CMV20000</t>
  </si>
  <si>
    <t>CMV12000</t>
  </si>
  <si>
    <t>2. Activate the sheet depending on sensor:</t>
  </si>
  <si>
    <t>IMX174</t>
  </si>
  <si>
    <t>IMX252</t>
  </si>
  <si>
    <t>IMX250</t>
  </si>
  <si>
    <t>IMX255</t>
  </si>
  <si>
    <t>IMX253</t>
  </si>
  <si>
    <t>MC031CG-SY</t>
  </si>
  <si>
    <t>xiC Family, 3.1 MPix, Color model</t>
  </si>
  <si>
    <t>MC023CG-SY</t>
  </si>
  <si>
    <t>xiC Family, 2.3 MPix, Color model</t>
  </si>
  <si>
    <t>MC050CG-SY</t>
  </si>
  <si>
    <t>xiC Family, 5.0 MPix, Color model</t>
  </si>
  <si>
    <t>MC124CG-SY</t>
  </si>
  <si>
    <t>xiC Family, 12.4 MPix, Color model</t>
  </si>
  <si>
    <t>VMAX</t>
  </si>
  <si>
    <t>MC089CG-SY</t>
  </si>
  <si>
    <t>xiC Family, 8.9 MPix, Color model</t>
  </si>
  <si>
    <t>CB120 Camera Model supports only 16 Channels per side; CB120-X8G3 Camera Model supports only 32 Channels per side</t>
  </si>
  <si>
    <t>See the resulting Actual Exposure Time in [us] below (depends on the Exp_Time, FOT and Clk_freq)</t>
  </si>
  <si>
    <t>Adjusts Sensor Readout Frequency</t>
  </si>
  <si>
    <t>CB200</t>
  </si>
  <si>
    <t>CB200 Camera Model supports only 12 Channels</t>
  </si>
  <si>
    <t>CB120</t>
  </si>
  <si>
    <t>CMV50000</t>
  </si>
  <si>
    <t>CB500CG-CM</t>
  </si>
  <si>
    <t>CMV50000 supports only 12 bit depth</t>
  </si>
  <si>
    <t>xiB Family, 48 MPix, Color model</t>
  </si>
  <si>
    <t>Line Period min</t>
  </si>
  <si>
    <t>Line Period max</t>
  </si>
  <si>
    <t>glob</t>
  </si>
  <si>
    <t>Binning: vertical x horizontal</t>
  </si>
  <si>
    <t>Decimation: vertical x horizontal</t>
  </si>
  <si>
    <t>Adjusts Line Period</t>
  </si>
  <si>
    <t>IMX287 supports 8; 10 and 12 bit depth</t>
  </si>
  <si>
    <t>IMX287 does not support binning</t>
  </si>
  <si>
    <t>IMX287 does not support decimation</t>
  </si>
  <si>
    <t>IMX287 supports 4 channels</t>
  </si>
  <si>
    <t>IMX273 supports 8; 10 and 12 bit depth</t>
  </si>
  <si>
    <t>Only Mono IMX273 supports Binning</t>
  </si>
  <si>
    <t>IMX273 supports 4; or 8 channels</t>
  </si>
  <si>
    <t>IMX287</t>
  </si>
  <si>
    <t>IMX273</t>
  </si>
  <si>
    <t>MC004CG-SY</t>
  </si>
  <si>
    <t>xiC Family, 0.4 MPix, Color model</t>
  </si>
  <si>
    <t>MC016CG-SY</t>
  </si>
  <si>
    <t>xiC Family, 1.6 MPix, Color model</t>
  </si>
  <si>
    <t>Decimation: vertical x horizontal; Only mono camera supports decimation</t>
  </si>
  <si>
    <t>CB042CG-GP</t>
  </si>
  <si>
    <t>xiB Family, 4.2 MPix, Color model</t>
  </si>
  <si>
    <t>Shutter type</t>
  </si>
  <si>
    <t>Rolling</t>
  </si>
  <si>
    <t>T_clk_seq</t>
  </si>
  <si>
    <t>Data_mult</t>
  </si>
  <si>
    <t>SI_FOT</t>
  </si>
  <si>
    <t>XI_PRM_SHUTTER_TYPE</t>
  </si>
  <si>
    <t>GSENSE2020</t>
  </si>
  <si>
    <t>XIMEA Camera performance calculator</t>
  </si>
  <si>
    <t>CB042MG-GP-BSI</t>
  </si>
  <si>
    <t>Sensor Timing mode</t>
  </si>
  <si>
    <t>xiB Family, 4.2 MPix, B/W model, BSI</t>
  </si>
  <si>
    <t>ADD_EXP</t>
  </si>
  <si>
    <t>GSENSE2020-BSI</t>
  </si>
  <si>
    <t>XI_PRM_SENSOR_FEATURE_SELECTOR, XI_PRM_SENSOR_FEATURE_VALUE</t>
  </si>
  <si>
    <t>Version 2019-01-18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</si>
</sst>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1" fillId="2" borderId="2" xfId="1" applyNumberFormat="1" applyBorder="1" applyAlignment="1">
      <alignment horizontal="center"/>
    </xf>
    <xf numFmtId="0" fontId="2" fillId="3" borderId="2" xfId="2" applyBorder="1" applyAlignment="1">
      <alignment horizontal="center"/>
    </xf>
    <xf numFmtId="0" fontId="2" fillId="3" borderId="3" xfId="2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2" fontId="1" fillId="2" borderId="2" xfId="1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" xfId="0" applyBorder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64" fontId="0" fillId="0" borderId="0" xfId="0" applyNumberFormat="1"/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65" fontId="2" fillId="3" borderId="2" xfId="2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/>
    <xf numFmtId="0" fontId="10" fillId="0" borderId="0" xfId="0" applyFont="1"/>
    <xf numFmtId="0" fontId="2" fillId="3" borderId="19" xfId="2" applyBorder="1" applyAlignment="1">
      <alignment horizontal="center"/>
    </xf>
    <xf numFmtId="1" fontId="2" fillId="3" borderId="3" xfId="2" applyNumberFormat="1" applyBorder="1" applyAlignment="1">
      <alignment horizontal="center"/>
    </xf>
    <xf numFmtId="165" fontId="2" fillId="3" borderId="3" xfId="2" applyNumberFormat="1" applyBorder="1" applyAlignment="1">
      <alignment horizontal="center"/>
    </xf>
    <xf numFmtId="1" fontId="2" fillId="3" borderId="2" xfId="2" applyNumberFormat="1" applyBorder="1" applyAlignment="1">
      <alignment horizontal="center"/>
    </xf>
    <xf numFmtId="0" fontId="11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NumberFormat="1"/>
    <xf numFmtId="0" fontId="9" fillId="0" borderId="0" xfId="3" applyAlignment="1">
      <alignment horizontal="center"/>
    </xf>
    <xf numFmtId="0" fontId="1" fillId="2" borderId="5" xfId="1" applyBorder="1"/>
    <xf numFmtId="0" fontId="1" fillId="2" borderId="23" xfId="1" applyBorder="1"/>
    <xf numFmtId="0" fontId="1" fillId="2" borderId="24" xfId="1" applyBorder="1"/>
    <xf numFmtId="0" fontId="2" fillId="3" borderId="25" xfId="2" applyBorder="1"/>
    <xf numFmtId="0" fontId="2" fillId="3" borderId="26" xfId="2" applyBorder="1"/>
    <xf numFmtId="0" fontId="2" fillId="3" borderId="27" xfId="2" applyBorder="1"/>
    <xf numFmtId="1" fontId="1" fillId="2" borderId="2" xfId="1" applyNumberFormat="1" applyBorder="1" applyAlignment="1">
      <alignment horizontal="center"/>
    </xf>
  </cellXfs>
  <cellStyles count="4">
    <cellStyle name="Good" xfId="1" builtinId="26"/>
    <cellStyle name="Hyperlink" xfId="3" builtinId="8"/>
    <cellStyle name="Input" xfId="2" builtinId="20"/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"/>
  <sheetViews>
    <sheetView tabSelected="1" zoomScale="175" zoomScaleNormal="175" workbookViewId="0">
      <selection activeCell="A7" sqref="A7"/>
    </sheetView>
  </sheetViews>
  <sheetFormatPr defaultRowHeight="15" x14ac:dyDescent="0.25"/>
  <cols>
    <col min="1" max="1" width="2.5703125" customWidth="1"/>
    <col min="2" max="8" width="10.28515625" customWidth="1"/>
    <col min="12" max="12" width="12.85546875" customWidth="1"/>
    <col min="13" max="13" width="15.42578125" bestFit="1" customWidth="1"/>
  </cols>
  <sheetData>
    <row r="1" spans="1:13" ht="26.25" x14ac:dyDescent="0.4">
      <c r="A1" s="43" t="s">
        <v>168</v>
      </c>
    </row>
    <row r="2" spans="1:13" x14ac:dyDescent="0.25">
      <c r="A2" t="s">
        <v>175</v>
      </c>
    </row>
    <row r="4" spans="1:13" x14ac:dyDescent="0.25">
      <c r="A4" t="s">
        <v>79</v>
      </c>
    </row>
    <row r="6" spans="1:13" x14ac:dyDescent="0.25">
      <c r="A6" t="s">
        <v>80</v>
      </c>
    </row>
    <row r="7" spans="1:13" x14ac:dyDescent="0.25">
      <c r="A7" s="51" t="s">
        <v>107</v>
      </c>
    </row>
    <row r="8" spans="1:13" x14ac:dyDescent="0.25">
      <c r="A8" t="s">
        <v>112</v>
      </c>
    </row>
    <row r="9" spans="1:13" ht="15.75" thickBot="1" x14ac:dyDescent="0.3">
      <c r="B9" s="59" t="s">
        <v>111</v>
      </c>
      <c r="C9" s="59" t="s">
        <v>110</v>
      </c>
      <c r="D9" s="59" t="s">
        <v>135</v>
      </c>
      <c r="E9" s="59" t="s">
        <v>152</v>
      </c>
      <c r="F9" s="59" t="s">
        <v>153</v>
      </c>
      <c r="G9" s="59" t="s">
        <v>113</v>
      </c>
      <c r="H9" s="59" t="s">
        <v>114</v>
      </c>
      <c r="I9" s="59" t="s">
        <v>115</v>
      </c>
      <c r="J9" s="59" t="s">
        <v>116</v>
      </c>
      <c r="K9" s="59" t="s">
        <v>117</v>
      </c>
      <c r="L9" s="59" t="s">
        <v>167</v>
      </c>
      <c r="M9" s="59" t="s">
        <v>173</v>
      </c>
    </row>
    <row r="10" spans="1:13" ht="15.75" thickBot="1" x14ac:dyDescent="0.3">
      <c r="A10" s="65" t="s">
        <v>108</v>
      </c>
      <c r="B10" s="64"/>
      <c r="C10" s="63"/>
    </row>
    <row r="11" spans="1:13" ht="15.75" thickBot="1" x14ac:dyDescent="0.3">
      <c r="A11" s="60" t="s">
        <v>109</v>
      </c>
      <c r="B11" s="61"/>
      <c r="C11" s="62"/>
    </row>
  </sheetData>
  <hyperlinks>
    <hyperlink ref="C9" location="'CMV20000'!A1" display="CMV20000"/>
    <hyperlink ref="B9" location="'CMV12000 '!A1" display="CMV12000"/>
    <hyperlink ref="G9" location="'IMX174'!A1" display="IMX174"/>
    <hyperlink ref="H9" location="'IMX252'!A1" display="IMX252"/>
    <hyperlink ref="I9" location="'IMX250'!A1" display="IMX250"/>
    <hyperlink ref="J9" location="'IMX255'!A1" display="IMX255"/>
    <hyperlink ref="K9" location="'IMX253'!A1" display="IMX253"/>
    <hyperlink ref="D9" location="'CMV50000'!A1" display="CMV50000"/>
    <hyperlink ref="E9" location="'IMX287'!A1" display="IMX287"/>
    <hyperlink ref="F9" location="'IMX273'!A1" display="IMX287"/>
    <hyperlink ref="L9" location="GSENSE2020!B2" display="GSENSE2020"/>
    <hyperlink ref="M9" location="'GSENSE2020-BSI'!B2" display="GSENSE2020-BSI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127</v>
      </c>
      <c r="G2" s="2" t="s">
        <v>128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77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76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78</v>
      </c>
    </row>
    <row r="8" spans="1:18" ht="15.75" thickBot="1" x14ac:dyDescent="0.3">
      <c r="A8" s="9" t="s">
        <v>23</v>
      </c>
      <c r="B8" s="4">
        <v>4112</v>
      </c>
      <c r="C8" s="1" t="s">
        <v>0</v>
      </c>
      <c r="D8" s="1">
        <v>8</v>
      </c>
      <c r="E8" s="1">
        <v>4112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2176</v>
      </c>
      <c r="C9" s="1" t="s">
        <v>0</v>
      </c>
      <c r="D9" s="1">
        <v>4</v>
      </c>
      <c r="E9" s="1">
        <v>2176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25</v>
      </c>
      <c r="C10" s="1" t="s">
        <v>5</v>
      </c>
      <c r="D10" s="41">
        <f>B24</f>
        <v>25</v>
      </c>
      <c r="E10" s="1">
        <v>30000000</v>
      </c>
      <c r="F10" s="46" t="s">
        <v>100</v>
      </c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14.705882352941176</v>
      </c>
      <c r="E12" s="11">
        <v>1000</v>
      </c>
      <c r="F12" s="46" t="s">
        <v>102</v>
      </c>
      <c r="G12" s="2" t="s">
        <v>104</v>
      </c>
    </row>
    <row r="13" spans="1:18" x14ac:dyDescent="0.25">
      <c r="F13" s="46"/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50" t="s">
        <v>36</v>
      </c>
      <c r="B16" s="10">
        <f>B9*B8/1000000</f>
        <v>8.9477119999999992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50" t="s">
        <v>21</v>
      </c>
      <c r="B17" s="10">
        <f>B8*B9/8*B11/1000000</f>
        <v>8.9477119999999992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355</v>
      </c>
      <c r="N17" s="17">
        <v>568</v>
      </c>
      <c r="O17" s="33">
        <v>1092</v>
      </c>
      <c r="R17" s="38"/>
    </row>
    <row r="18" spans="1:18" ht="15.75" thickBot="1" x14ac:dyDescent="0.3">
      <c r="A18" s="9" t="s">
        <v>90</v>
      </c>
      <c r="B18" s="10">
        <v>10.543589743589743</v>
      </c>
      <c r="C18" s="1" t="s">
        <v>5</v>
      </c>
      <c r="F18" s="42" t="s">
        <v>103</v>
      </c>
      <c r="G18" s="1">
        <f ca="1">INDIRECT(ADDRESS((G16*2+15)+ISNUMBER(FIND("x2",B6, 2))+ISNUMBER(FIND("x2",B5, 2)), 17-G17))</f>
        <v>355</v>
      </c>
      <c r="H18" s="1" t="s">
        <v>0</v>
      </c>
      <c r="J18" s="26"/>
      <c r="K18" s="26" t="s">
        <v>72</v>
      </c>
      <c r="L18" s="22" t="s">
        <v>60</v>
      </c>
      <c r="M18" s="18">
        <v>356</v>
      </c>
      <c r="N18" s="18">
        <v>356</v>
      </c>
      <c r="O18" s="32">
        <v>576</v>
      </c>
      <c r="R18" s="38"/>
    </row>
    <row r="19" spans="1:18" ht="15.75" thickBot="1" x14ac:dyDescent="0.3">
      <c r="A19" s="9" t="s">
        <v>7</v>
      </c>
      <c r="B19" s="10">
        <f>G20*B18/1000</f>
        <v>23.343507692307693</v>
      </c>
      <c r="C19" s="1" t="s">
        <v>6</v>
      </c>
      <c r="F19" s="42" t="s">
        <v>86</v>
      </c>
      <c r="G19" s="12">
        <f ca="1">(1/75000000)*1000000*G18</f>
        <v>4.7333333333333334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375</v>
      </c>
      <c r="N19" s="17">
        <v>700</v>
      </c>
      <c r="O19" s="33">
        <v>1355</v>
      </c>
      <c r="R19" s="38"/>
    </row>
    <row r="20" spans="1:18" ht="15.75" thickBot="1" x14ac:dyDescent="0.3">
      <c r="A20" s="9" t="s">
        <v>20</v>
      </c>
      <c r="B20" s="3">
        <f>1000/B19</f>
        <v>42.838463404089296</v>
      </c>
      <c r="C20" s="1" t="s">
        <v>0</v>
      </c>
      <c r="F20" s="42" t="s">
        <v>126</v>
      </c>
      <c r="G20" s="1">
        <f>MAX(ROUND((((B10-14.26)/B18)+13), 0), B9+38)</f>
        <v>2214</v>
      </c>
      <c r="H20" s="1" t="s">
        <v>0</v>
      </c>
      <c r="J20" s="26"/>
      <c r="K20" s="26" t="s">
        <v>72</v>
      </c>
      <c r="L20" s="22" t="s">
        <v>60</v>
      </c>
      <c r="M20" s="18">
        <v>375</v>
      </c>
      <c r="N20" s="18">
        <v>380</v>
      </c>
      <c r="O20" s="32">
        <v>710</v>
      </c>
      <c r="R20" s="38"/>
    </row>
    <row r="21" spans="1:18" ht="15.75" thickBot="1" x14ac:dyDescent="0.3">
      <c r="A21" s="9" t="s">
        <v>18</v>
      </c>
      <c r="B21" s="10">
        <f>B17/B19*1000</f>
        <v>383.30623306233059</v>
      </c>
      <c r="C21" s="1" t="s">
        <v>19</v>
      </c>
      <c r="F21" s="42" t="s">
        <v>4</v>
      </c>
      <c r="G21" s="11">
        <f>10*B18</f>
        <v>105.43589743589743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522</v>
      </c>
      <c r="N21" s="19">
        <v>831</v>
      </c>
      <c r="O21" s="30">
        <v>1614</v>
      </c>
      <c r="R21" s="38"/>
    </row>
    <row r="22" spans="1:18" ht="15.75" thickBot="1" x14ac:dyDescent="0.3">
      <c r="F22" s="50" t="s">
        <v>43</v>
      </c>
      <c r="G22" s="40">
        <f>B18*B9/1000</f>
        <v>22.942851282051279</v>
      </c>
      <c r="H22" s="1" t="s">
        <v>6</v>
      </c>
      <c r="J22" s="15"/>
      <c r="K22" s="26" t="s">
        <v>72</v>
      </c>
      <c r="L22" s="22" t="s">
        <v>60</v>
      </c>
      <c r="M22" s="18">
        <v>522</v>
      </c>
      <c r="N22" s="18">
        <v>522</v>
      </c>
      <c r="O22" s="32">
        <v>846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ROUND(B18+14.26, 0)</f>
        <v>25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((ROUND((B10-14.26)/B18,0)*B18)+14.26)</f>
        <v>24.803589743589743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 s="49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390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1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8">
    <dataValidation type="list" allowBlank="1" showInputMessage="1" showErrorMessage="1" sqref="B6">
      <formula1>"1x1, 1x2, 2x1, 2x2"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7">
      <formula1>"4, 8, 16"</formula1>
    </dataValidation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2">
      <formula1>"MC089CG-SY, MC089MG-SY, MX089CG-SY, MX089MG-SY"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4">
      <formula1>"8, 10, 12"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124</v>
      </c>
      <c r="G2" s="2" t="s">
        <v>125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74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73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75</v>
      </c>
    </row>
    <row r="8" spans="1:18" ht="15.75" thickBot="1" x14ac:dyDescent="0.3">
      <c r="A8" s="9" t="s">
        <v>23</v>
      </c>
      <c r="B8" s="4">
        <v>4112</v>
      </c>
      <c r="C8" s="1" t="s">
        <v>0</v>
      </c>
      <c r="D8" s="1">
        <v>8</v>
      </c>
      <c r="E8" s="1">
        <v>4112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3008</v>
      </c>
      <c r="C9" s="1" t="s">
        <v>0</v>
      </c>
      <c r="D9" s="1">
        <v>4</v>
      </c>
      <c r="E9" s="1">
        <v>3008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25</v>
      </c>
      <c r="C10" s="1" t="s">
        <v>5</v>
      </c>
      <c r="D10" s="41">
        <f>B24</f>
        <v>25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14.705882352941178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12.368895999999999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9" t="s">
        <v>21</v>
      </c>
      <c r="B17" s="10">
        <f>B8*B9/8*B11/1000000</f>
        <v>12.368895999999999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355</v>
      </c>
      <c r="N17" s="17">
        <v>568</v>
      </c>
      <c r="O17" s="33">
        <v>1092</v>
      </c>
      <c r="R17" s="38"/>
    </row>
    <row r="18" spans="1:18" ht="15.75" thickBot="1" x14ac:dyDescent="0.3">
      <c r="A18" s="9" t="s">
        <v>90</v>
      </c>
      <c r="B18" s="10">
        <v>10.543589743589743</v>
      </c>
      <c r="C18" s="1" t="s">
        <v>5</v>
      </c>
      <c r="F18" s="42" t="s">
        <v>103</v>
      </c>
      <c r="G18" s="1">
        <f ca="1">INDIRECT(ADDRESS((G16*2+15)+ISNUMBER(FIND("x2",B6, 2))+ISNUMBER(FIND("x2",B5, 2)), 17-G17))</f>
        <v>355</v>
      </c>
      <c r="H18" s="1" t="s">
        <v>0</v>
      </c>
      <c r="J18" s="26"/>
      <c r="K18" s="26" t="s">
        <v>72</v>
      </c>
      <c r="L18" s="22" t="s">
        <v>60</v>
      </c>
      <c r="M18" s="18">
        <v>355</v>
      </c>
      <c r="N18" s="18">
        <v>356</v>
      </c>
      <c r="O18" s="32">
        <v>576</v>
      </c>
      <c r="R18" s="38"/>
    </row>
    <row r="19" spans="1:18" ht="15.75" thickBot="1" x14ac:dyDescent="0.3">
      <c r="A19" s="9" t="s">
        <v>7</v>
      </c>
      <c r="B19" s="10">
        <f>G20*B18/1000</f>
        <v>32.115774358974356</v>
      </c>
      <c r="C19" s="1" t="s">
        <v>6</v>
      </c>
      <c r="F19" s="42" t="s">
        <v>86</v>
      </c>
      <c r="G19" s="12">
        <f ca="1">(1/75000000)*1000000*G18</f>
        <v>4.7333333333333334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375</v>
      </c>
      <c r="N19" s="17">
        <v>700</v>
      </c>
      <c r="O19" s="33">
        <v>1355</v>
      </c>
      <c r="R19" s="38"/>
    </row>
    <row r="20" spans="1:18" ht="15.75" thickBot="1" x14ac:dyDescent="0.3">
      <c r="A20" s="9" t="s">
        <v>20</v>
      </c>
      <c r="B20" s="3">
        <f>1000/B19</f>
        <v>31.137346676511395</v>
      </c>
      <c r="C20" s="1" t="s">
        <v>0</v>
      </c>
      <c r="F20" s="42" t="s">
        <v>126</v>
      </c>
      <c r="G20" s="1">
        <f>MAX(ROUND((((B10-14.26)/B18)+13), 0), B9+38)</f>
        <v>3046</v>
      </c>
      <c r="H20" s="1" t="s">
        <v>0</v>
      </c>
      <c r="J20" s="26"/>
      <c r="K20" s="26" t="s">
        <v>72</v>
      </c>
      <c r="L20" s="22" t="s">
        <v>60</v>
      </c>
      <c r="M20" s="18">
        <v>375</v>
      </c>
      <c r="N20" s="18">
        <v>380</v>
      </c>
      <c r="O20" s="32">
        <v>710</v>
      </c>
      <c r="R20" s="38"/>
    </row>
    <row r="21" spans="1:18" ht="15.75" thickBot="1" x14ac:dyDescent="0.3">
      <c r="A21" s="9" t="s">
        <v>18</v>
      </c>
      <c r="B21" s="10">
        <f>B17/B19*1000</f>
        <v>385.13460275771507</v>
      </c>
      <c r="C21" s="1" t="s">
        <v>19</v>
      </c>
      <c r="F21" s="42" t="s">
        <v>4</v>
      </c>
      <c r="G21" s="11">
        <f>10*B18</f>
        <v>105.43589743589743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522</v>
      </c>
      <c r="N21" s="19">
        <v>831</v>
      </c>
      <c r="O21" s="30">
        <v>1614</v>
      </c>
      <c r="R21" s="38"/>
    </row>
    <row r="22" spans="1:18" ht="15.75" thickBot="1" x14ac:dyDescent="0.3">
      <c r="F22" s="50" t="s">
        <v>43</v>
      </c>
      <c r="G22" s="40">
        <f>B18*B9/1000</f>
        <v>31.715117948717946</v>
      </c>
      <c r="H22" s="1" t="s">
        <v>6</v>
      </c>
      <c r="J22" s="15"/>
      <c r="K22" s="26" t="s">
        <v>72</v>
      </c>
      <c r="L22" s="22" t="s">
        <v>60</v>
      </c>
      <c r="M22" s="18">
        <v>522</v>
      </c>
      <c r="N22" s="18">
        <v>522</v>
      </c>
      <c r="O22" s="32">
        <v>846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ROUND(B18+14.26, 0)</f>
        <v>25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((ROUND((B10-14.26)/B18,0)*B18)+14.26)</f>
        <v>24.803589743589743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390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0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8"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7">
      <formula1>"4, 8, 16"</formula1>
    </dataValidation>
    <dataValidation type="list" allowBlank="1" showInputMessage="1" showErrorMessage="1" sqref="B4">
      <formula1>"8, 10, 12"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6">
      <formula1>"1x1, 1x2, 2x1,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2">
      <formula1>"MC124CG-SY, MC124MG-SY, MX124CG-SY, MX124MG-SY"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35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8" ht="15.75" thickBot="1" x14ac:dyDescent="0.3">
      <c r="G1" s="8" t="s">
        <v>13</v>
      </c>
    </row>
    <row r="2" spans="1:8" ht="15.75" thickBot="1" x14ac:dyDescent="0.3">
      <c r="A2" s="6" t="s">
        <v>81</v>
      </c>
      <c r="B2" s="4" t="s">
        <v>159</v>
      </c>
      <c r="G2" s="2" t="s">
        <v>160</v>
      </c>
    </row>
    <row r="3" spans="1: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8" ht="15.75" thickBot="1" x14ac:dyDescent="0.3">
      <c r="A4" s="9" t="s">
        <v>161</v>
      </c>
      <c r="B4" s="4" t="s">
        <v>162</v>
      </c>
      <c r="C4" s="7"/>
      <c r="D4" s="7"/>
      <c r="E4" s="7"/>
      <c r="F4" s="46" t="s">
        <v>166</v>
      </c>
      <c r="G4" s="8"/>
    </row>
    <row r="5" spans="1:8" ht="15.75" thickBot="1" x14ac:dyDescent="0.3">
      <c r="A5" s="9" t="s">
        <v>84</v>
      </c>
      <c r="B5" s="4">
        <v>12</v>
      </c>
      <c r="C5" s="1" t="s">
        <v>0</v>
      </c>
      <c r="D5" s="1">
        <v>12</v>
      </c>
      <c r="E5" s="1">
        <v>12</v>
      </c>
      <c r="F5" s="46" t="s">
        <v>96</v>
      </c>
      <c r="G5" s="2"/>
    </row>
    <row r="6" spans="1:8" ht="15.75" thickBot="1" x14ac:dyDescent="0.3">
      <c r="B6" s="5"/>
    </row>
    <row r="7" spans="1:8" ht="15.75" thickBot="1" x14ac:dyDescent="0.3">
      <c r="A7" s="9" t="s">
        <v>64</v>
      </c>
      <c r="B7" s="5" t="s">
        <v>66</v>
      </c>
      <c r="F7" s="46" t="s">
        <v>105</v>
      </c>
      <c r="G7" s="2" t="s">
        <v>142</v>
      </c>
    </row>
    <row r="8" spans="1:8" ht="15.75" thickBot="1" x14ac:dyDescent="0.3">
      <c r="A8" s="9" t="s">
        <v>23</v>
      </c>
      <c r="B8" s="4">
        <v>2048</v>
      </c>
      <c r="C8" s="1" t="s">
        <v>0</v>
      </c>
      <c r="D8" s="1">
        <v>8</v>
      </c>
      <c r="E8" s="1">
        <v>2048</v>
      </c>
      <c r="F8" s="46" t="s">
        <v>98</v>
      </c>
      <c r="G8" s="2" t="s">
        <v>33</v>
      </c>
    </row>
    <row r="9" spans="1:8" ht="15.75" thickBot="1" x14ac:dyDescent="0.3">
      <c r="A9" s="9" t="s">
        <v>29</v>
      </c>
      <c r="B9" s="4">
        <v>2048</v>
      </c>
      <c r="C9" s="1" t="s">
        <v>0</v>
      </c>
      <c r="D9" s="1">
        <v>2</v>
      </c>
      <c r="E9" s="1">
        <v>2048</v>
      </c>
      <c r="F9" s="46" t="s">
        <v>99</v>
      </c>
      <c r="G9" s="2" t="s">
        <v>32</v>
      </c>
    </row>
    <row r="10" spans="1:8" ht="15.75" thickBot="1" x14ac:dyDescent="0.3">
      <c r="A10" s="9" t="s">
        <v>89</v>
      </c>
      <c r="B10" s="5">
        <v>8</v>
      </c>
      <c r="C10" s="1" t="s">
        <v>5</v>
      </c>
      <c r="D10" s="41">
        <v>8</v>
      </c>
      <c r="E10" s="1">
        <v>30000000</v>
      </c>
      <c r="F10" s="46" t="s">
        <v>100</v>
      </c>
      <c r="G10" s="2"/>
    </row>
    <row r="11" spans="1: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8" ht="15.75" thickBot="1" x14ac:dyDescent="0.3">
      <c r="A12" s="9" t="s">
        <v>94</v>
      </c>
      <c r="B12" s="47">
        <v>1300</v>
      </c>
      <c r="C12" s="1" t="s">
        <v>19</v>
      </c>
      <c r="D12" s="11">
        <v>27.292722130663897</v>
      </c>
      <c r="E12" s="11">
        <v>2000</v>
      </c>
      <c r="F12" s="46" t="s">
        <v>102</v>
      </c>
      <c r="G12" s="2" t="s">
        <v>144</v>
      </c>
    </row>
    <row r="15" spans="1:8" x14ac:dyDescent="0.25">
      <c r="A15" s="6" t="s">
        <v>24</v>
      </c>
    </row>
    <row r="16" spans="1:8" ht="15.75" thickBot="1" x14ac:dyDescent="0.3">
      <c r="A16" s="6" t="s">
        <v>17</v>
      </c>
      <c r="F16" s="6" t="s">
        <v>30</v>
      </c>
      <c r="G16" s="1"/>
      <c r="H16" s="1"/>
    </row>
    <row r="17" spans="1:18" ht="15.75" thickBot="1" x14ac:dyDescent="0.3">
      <c r="A17" s="9" t="s">
        <v>36</v>
      </c>
      <c r="B17" s="10">
        <f>B9*B8/1000000</f>
        <v>4.1943039999999998</v>
      </c>
      <c r="C17" s="1" t="s">
        <v>22</v>
      </c>
      <c r="F17" s="42"/>
      <c r="G17" s="12"/>
      <c r="H17" s="1"/>
      <c r="R17" s="37"/>
    </row>
    <row r="18" spans="1:18" ht="15.75" thickBot="1" x14ac:dyDescent="0.3">
      <c r="A18" s="9" t="s">
        <v>21</v>
      </c>
      <c r="B18" s="10">
        <f>(B17*B11/8)*G20</f>
        <v>8.3886079999999996</v>
      </c>
      <c r="C18" s="1" t="s">
        <v>35</v>
      </c>
      <c r="F18" s="50" t="s">
        <v>163</v>
      </c>
      <c r="G18" s="1">
        <f>1/(600*1000000/12)*1000000</f>
        <v>0.02</v>
      </c>
      <c r="H18" s="1" t="s">
        <v>5</v>
      </c>
      <c r="R18" s="38"/>
    </row>
    <row r="19" spans="1:18" ht="15.75" thickBot="1" x14ac:dyDescent="0.3">
      <c r="A19" s="9" t="s">
        <v>90</v>
      </c>
      <c r="B19" s="10">
        <v>10.68</v>
      </c>
      <c r="C19" s="1" t="s">
        <v>5</v>
      </c>
      <c r="F19" s="42" t="s">
        <v>165</v>
      </c>
      <c r="G19" s="12">
        <f>ISNUMBER(FIND("Global",B4,1))*12*B19</f>
        <v>0</v>
      </c>
      <c r="H19" s="1" t="s">
        <v>5</v>
      </c>
      <c r="R19" s="38"/>
    </row>
    <row r="20" spans="1:18" ht="15.75" thickBot="1" x14ac:dyDescent="0.3">
      <c r="A20" s="9" t="s">
        <v>7</v>
      </c>
      <c r="B20" s="10">
        <f>MAX(G23+G19/1000,B26/1000)</f>
        <v>21.872640000000001</v>
      </c>
      <c r="C20" s="1" t="s">
        <v>6</v>
      </c>
      <c r="F20" s="42" t="s">
        <v>164</v>
      </c>
      <c r="G20" s="41">
        <f>ISNUMBER(FIND("Global",B4,1))*2+2</f>
        <v>2</v>
      </c>
      <c r="H20" s="1"/>
      <c r="R20" s="38"/>
    </row>
    <row r="21" spans="1:18" ht="15.75" thickBot="1" x14ac:dyDescent="0.3">
      <c r="A21" s="9" t="s">
        <v>20</v>
      </c>
      <c r="B21" s="3">
        <f>1000/B20</f>
        <v>45.719218164794007</v>
      </c>
      <c r="C21" s="1" t="s">
        <v>0</v>
      </c>
      <c r="F21" s="42" t="s">
        <v>139</v>
      </c>
      <c r="G21" s="12">
        <v>10.68</v>
      </c>
      <c r="H21" s="1" t="s">
        <v>5</v>
      </c>
      <c r="R21" s="38"/>
    </row>
    <row r="22" spans="1:18" ht="15.75" thickBot="1" x14ac:dyDescent="0.3">
      <c r="A22" s="9" t="s">
        <v>18</v>
      </c>
      <c r="B22" s="10">
        <f>B18/B20*1000</f>
        <v>383.5205992509363</v>
      </c>
      <c r="C22" s="1" t="s">
        <v>19</v>
      </c>
      <c r="F22" s="42" t="s">
        <v>140</v>
      </c>
      <c r="G22" s="12">
        <f>(1+ISNUMBER(FIND("2x2",B7,1)))*16383*12/830</f>
        <v>236.86265060240964</v>
      </c>
      <c r="H22" s="1" t="s">
        <v>5</v>
      </c>
      <c r="R22" s="38"/>
    </row>
    <row r="23" spans="1:18" ht="15.75" customHeight="1" x14ac:dyDescent="0.25">
      <c r="A23" s="1"/>
      <c r="F23" s="50" t="s">
        <v>43</v>
      </c>
      <c r="G23" s="40">
        <f>(ISNUMBER(FIND("Global",B4,1))+1)*B9*B19/1000</f>
        <v>21.872640000000001</v>
      </c>
      <c r="H23" s="1" t="s">
        <v>6</v>
      </c>
      <c r="J23" s="39"/>
      <c r="K23" s="39"/>
      <c r="L23" s="38"/>
      <c r="M23" s="38"/>
      <c r="N23" s="38"/>
      <c r="O23" s="38"/>
      <c r="R23" s="38"/>
    </row>
    <row r="24" spans="1:18" ht="15.75" thickBot="1" x14ac:dyDescent="0.3">
      <c r="A24" s="6" t="s">
        <v>16</v>
      </c>
      <c r="F24" s="42" t="s">
        <v>91</v>
      </c>
      <c r="G24" s="11">
        <v>1300</v>
      </c>
      <c r="H24" s="1" t="s">
        <v>88</v>
      </c>
      <c r="R24" s="38"/>
    </row>
    <row r="25" spans="1:18" ht="15.75" thickBot="1" x14ac:dyDescent="0.3">
      <c r="A25" s="9" t="s">
        <v>14</v>
      </c>
      <c r="B25" s="3">
        <f>D10</f>
        <v>8</v>
      </c>
      <c r="C25" s="1" t="s">
        <v>5</v>
      </c>
      <c r="F25" s="13"/>
      <c r="R25" s="38"/>
    </row>
    <row r="26" spans="1:18" ht="15.75" thickBot="1" x14ac:dyDescent="0.3">
      <c r="A26" s="9" t="s">
        <v>15</v>
      </c>
      <c r="B26" s="3">
        <f>B10</f>
        <v>8</v>
      </c>
      <c r="C26" s="1" t="s">
        <v>5</v>
      </c>
      <c r="F26"/>
      <c r="R26" s="38"/>
    </row>
    <row r="27" spans="1:18" x14ac:dyDescent="0.25">
      <c r="F27" s="58"/>
      <c r="R27" s="38"/>
    </row>
    <row r="28" spans="1:18" ht="15.75" thickBot="1" x14ac:dyDescent="0.3">
      <c r="A28" s="6" t="s">
        <v>92</v>
      </c>
      <c r="F28"/>
      <c r="J28" s="39"/>
      <c r="K28" s="39"/>
      <c r="L28" s="38"/>
      <c r="M28" s="38"/>
      <c r="N28" s="38"/>
      <c r="O28" s="38"/>
      <c r="R28" s="38"/>
    </row>
    <row r="29" spans="1:18" ht="15.75" thickBot="1" x14ac:dyDescent="0.3">
      <c r="A29" s="9" t="s">
        <v>87</v>
      </c>
      <c r="B29" s="10">
        <f>B18/G23*1000</f>
        <v>383.5205992509363</v>
      </c>
      <c r="C29" s="1" t="s">
        <v>88</v>
      </c>
      <c r="D29" s="48" t="str">
        <f>IF((B29&gt;G24), "Throughput is higher than camera family data interface capability", "")</f>
        <v/>
      </c>
      <c r="R29" s="38"/>
    </row>
    <row r="30" spans="1:18" x14ac:dyDescent="0.25">
      <c r="F30"/>
      <c r="R30" s="38"/>
    </row>
    <row r="31" spans="1:18" x14ac:dyDescent="0.25">
      <c r="F31"/>
      <c r="R31" s="38"/>
    </row>
    <row r="32" spans="1:18" x14ac:dyDescent="0.25">
      <c r="B32"/>
      <c r="C32"/>
      <c r="F32"/>
      <c r="G32" s="1"/>
      <c r="R32" s="38"/>
    </row>
    <row r="33" spans="6:18" x14ac:dyDescent="0.25">
      <c r="F33"/>
      <c r="R33" s="38"/>
    </row>
    <row r="34" spans="6:18" x14ac:dyDescent="0.25">
      <c r="F34"/>
      <c r="R34" s="38"/>
    </row>
    <row r="35" spans="6:18" x14ac:dyDescent="0.25">
      <c r="F35"/>
    </row>
  </sheetData>
  <dataConsolidate function="countNums"/>
  <dataValidations count="6">
    <dataValidation type="list" allowBlank="1" showInputMessage="1" showErrorMessage="1" sqref="B7">
      <formula1>"1x1, 1x2, 2x1, 2x2"</formula1>
    </dataValidation>
    <dataValidation type="list" allowBlank="1" showInputMessage="1" showErrorMessage="1" sqref="B4">
      <formula1>"Rolling, Global"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2">
      <formula1>"CB042CG-GP, CB042MG-GP"</formula1>
    </dataValidation>
    <dataValidation type="whole" allowBlank="1" showInputMessage="1" showErrorMessage="1" sqref="B8 B5">
      <formula1>D5</formula1>
      <formula2>E5</formula2>
    </dataValidation>
    <dataValidation type="decimal" allowBlank="1" showInputMessage="1" showErrorMessage="1" sqref="B9:B10 B12">
      <formula1>D9</formula1>
      <formula2>E9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35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6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8" ht="15.75" thickBot="1" x14ac:dyDescent="0.3">
      <c r="G1" s="8" t="s">
        <v>13</v>
      </c>
    </row>
    <row r="2" spans="1:8" ht="15.75" thickBot="1" x14ac:dyDescent="0.3">
      <c r="A2" s="6" t="s">
        <v>81</v>
      </c>
      <c r="B2" s="4" t="s">
        <v>169</v>
      </c>
      <c r="G2" s="2" t="s">
        <v>171</v>
      </c>
    </row>
    <row r="3" spans="1: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8" ht="15.75" thickBot="1" x14ac:dyDescent="0.3">
      <c r="A4" s="9" t="s">
        <v>161</v>
      </c>
      <c r="B4" s="4" t="s">
        <v>162</v>
      </c>
      <c r="C4" s="7"/>
      <c r="D4" s="7"/>
      <c r="E4" s="7"/>
      <c r="F4" s="46" t="s">
        <v>166</v>
      </c>
      <c r="G4" s="8"/>
    </row>
    <row r="5" spans="1:8" ht="15.75" thickBot="1" x14ac:dyDescent="0.3">
      <c r="A5" s="9" t="s">
        <v>84</v>
      </c>
      <c r="B5" s="4">
        <v>11</v>
      </c>
      <c r="C5" s="1" t="s">
        <v>0</v>
      </c>
      <c r="D5" s="1">
        <v>11</v>
      </c>
      <c r="E5" s="1">
        <v>11</v>
      </c>
      <c r="F5" s="46" t="s">
        <v>96</v>
      </c>
      <c r="G5" s="2"/>
    </row>
    <row r="6" spans="1:8" ht="15.75" thickBot="1" x14ac:dyDescent="0.3">
      <c r="A6" s="9" t="s">
        <v>170</v>
      </c>
      <c r="B6" s="5">
        <v>0</v>
      </c>
      <c r="D6" s="1">
        <v>0</v>
      </c>
      <c r="E6" s="1">
        <v>1</v>
      </c>
      <c r="F6" s="46" t="s">
        <v>174</v>
      </c>
    </row>
    <row r="7" spans="1:8" ht="15.75" thickBot="1" x14ac:dyDescent="0.3">
      <c r="A7" s="9"/>
      <c r="B7" s="5"/>
      <c r="F7" s="46"/>
      <c r="G7" s="2"/>
    </row>
    <row r="8" spans="1:8" ht="15.75" thickBot="1" x14ac:dyDescent="0.3">
      <c r="A8" s="9" t="s">
        <v>23</v>
      </c>
      <c r="B8" s="4">
        <v>2048</v>
      </c>
      <c r="C8" s="1" t="s">
        <v>0</v>
      </c>
      <c r="D8" s="1">
        <v>8</v>
      </c>
      <c r="E8" s="1">
        <v>2048</v>
      </c>
      <c r="F8" s="46" t="s">
        <v>98</v>
      </c>
      <c r="G8" s="2" t="s">
        <v>33</v>
      </c>
    </row>
    <row r="9" spans="1:8" ht="15.75" thickBot="1" x14ac:dyDescent="0.3">
      <c r="A9" s="9" t="s">
        <v>29</v>
      </c>
      <c r="B9" s="4">
        <v>2048</v>
      </c>
      <c r="C9" s="1" t="s">
        <v>0</v>
      </c>
      <c r="D9" s="1">
        <v>2</v>
      </c>
      <c r="E9" s="1">
        <v>2048</v>
      </c>
      <c r="F9" s="46" t="s">
        <v>99</v>
      </c>
      <c r="G9" s="2" t="s">
        <v>32</v>
      </c>
    </row>
    <row r="10" spans="1:8" ht="15.75" thickBot="1" x14ac:dyDescent="0.3">
      <c r="A10" s="9" t="s">
        <v>89</v>
      </c>
      <c r="B10" s="53">
        <v>5</v>
      </c>
      <c r="C10" s="1" t="s">
        <v>5</v>
      </c>
      <c r="D10" s="41">
        <f>ROUNDUP(G17,0)</f>
        <v>5</v>
      </c>
      <c r="E10" s="1">
        <v>30000000</v>
      </c>
      <c r="F10" s="46" t="s">
        <v>100</v>
      </c>
      <c r="G10" s="2"/>
    </row>
    <row r="11" spans="1:8" ht="15.75" thickBot="1" x14ac:dyDescent="0.3">
      <c r="A11" s="9" t="s">
        <v>85</v>
      </c>
      <c r="B11" s="5">
        <v>12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8" ht="15.75" thickBot="1" x14ac:dyDescent="0.3">
      <c r="A12" s="9" t="s">
        <v>94</v>
      </c>
      <c r="B12" s="47">
        <v>1300</v>
      </c>
      <c r="C12" s="1" t="s">
        <v>19</v>
      </c>
      <c r="D12" s="11">
        <v>85.294117647058826</v>
      </c>
      <c r="E12" s="11">
        <v>2000</v>
      </c>
      <c r="F12" s="46" t="s">
        <v>102</v>
      </c>
      <c r="G12" s="2" t="s">
        <v>144</v>
      </c>
    </row>
    <row r="15" spans="1:8" x14ac:dyDescent="0.25">
      <c r="A15" s="6" t="s">
        <v>24</v>
      </c>
    </row>
    <row r="16" spans="1:8" ht="15.75" thickBot="1" x14ac:dyDescent="0.3">
      <c r="A16" s="6" t="s">
        <v>17</v>
      </c>
      <c r="F16" s="6" t="s">
        <v>30</v>
      </c>
      <c r="G16" s="1"/>
      <c r="H16" s="1"/>
    </row>
    <row r="17" spans="1:18" ht="15.75" thickBot="1" x14ac:dyDescent="0.3">
      <c r="A17" s="9" t="s">
        <v>36</v>
      </c>
      <c r="B17" s="10">
        <f>B9*B8/1000000</f>
        <v>4.1943039999999998</v>
      </c>
      <c r="C17" s="1" t="s">
        <v>22</v>
      </c>
      <c r="F17" s="42" t="s">
        <v>172</v>
      </c>
      <c r="G17" s="12">
        <f>(IF(B6=0, 231, 221))*G18</f>
        <v>4.62</v>
      </c>
      <c r="H17" s="1" t="s">
        <v>5</v>
      </c>
      <c r="R17" s="37"/>
    </row>
    <row r="18" spans="1:18" ht="15.75" thickBot="1" x14ac:dyDescent="0.3">
      <c r="A18" s="9" t="s">
        <v>21</v>
      </c>
      <c r="B18" s="10">
        <f>(B17*B11/8)*G20</f>
        <v>12.582912</v>
      </c>
      <c r="C18" s="1" t="s">
        <v>35</v>
      </c>
      <c r="F18" s="50" t="s">
        <v>163</v>
      </c>
      <c r="G18" s="1">
        <f>1/(600*1000000/12)*1000000</f>
        <v>0.02</v>
      </c>
      <c r="H18" s="1" t="s">
        <v>5</v>
      </c>
      <c r="R18" s="38"/>
    </row>
    <row r="19" spans="1:18" ht="15.75" thickBot="1" x14ac:dyDescent="0.3">
      <c r="A19" s="9" t="s">
        <v>90</v>
      </c>
      <c r="B19" s="10">
        <v>6.6000000000000005</v>
      </c>
      <c r="C19" s="1" t="s">
        <v>5</v>
      </c>
      <c r="F19" s="42"/>
      <c r="G19" s="12"/>
      <c r="H19" s="1"/>
      <c r="R19" s="38"/>
    </row>
    <row r="20" spans="1:18" ht="15.75" thickBot="1" x14ac:dyDescent="0.3">
      <c r="A20" s="9" t="s">
        <v>7</v>
      </c>
      <c r="B20" s="10">
        <v>13.516800000000002</v>
      </c>
      <c r="C20" s="1" t="s">
        <v>6</v>
      </c>
      <c r="F20" s="42" t="s">
        <v>164</v>
      </c>
      <c r="G20" s="41">
        <f>ISNUMBER(FIND("Global",B4,1))*2+2</f>
        <v>2</v>
      </c>
      <c r="H20" s="1"/>
      <c r="R20" s="38"/>
    </row>
    <row r="21" spans="1:18" ht="15.75" thickBot="1" x14ac:dyDescent="0.3">
      <c r="A21" s="9" t="s">
        <v>20</v>
      </c>
      <c r="B21" s="3">
        <f>1000/B20</f>
        <v>73.982007575757564</v>
      </c>
      <c r="C21" s="1" t="s">
        <v>0</v>
      </c>
      <c r="F21" s="42" t="s">
        <v>139</v>
      </c>
      <c r="G21" s="12">
        <v>6.6000000000000005</v>
      </c>
      <c r="H21" s="1" t="s">
        <v>5</v>
      </c>
      <c r="R21" s="38"/>
    </row>
    <row r="22" spans="1:18" ht="15.75" thickBot="1" x14ac:dyDescent="0.3">
      <c r="A22" s="9" t="s">
        <v>18</v>
      </c>
      <c r="B22" s="10">
        <f>B18/B20*1000</f>
        <v>930.90909090909076</v>
      </c>
      <c r="C22" s="1" t="s">
        <v>19</v>
      </c>
      <c r="F22" s="42" t="s">
        <v>140</v>
      </c>
      <c r="G22" s="12">
        <f>4080*12/600</f>
        <v>81.599999999999994</v>
      </c>
      <c r="H22" s="1" t="s">
        <v>5</v>
      </c>
      <c r="R22" s="38"/>
    </row>
    <row r="23" spans="1:18" ht="15.75" customHeight="1" x14ac:dyDescent="0.25">
      <c r="A23" s="1"/>
      <c r="F23" s="50" t="s">
        <v>43</v>
      </c>
      <c r="G23" s="40">
        <f>(ISNUMBER(FIND("Global",B4,1))+1)*B9*B19/1000</f>
        <v>13.516800000000002</v>
      </c>
      <c r="H23" s="1" t="s">
        <v>6</v>
      </c>
      <c r="J23" s="39"/>
      <c r="K23" s="39"/>
      <c r="L23" s="38"/>
      <c r="M23" s="38"/>
      <c r="N23" s="38"/>
      <c r="O23" s="38"/>
      <c r="R23" s="38"/>
    </row>
    <row r="24" spans="1:18" ht="15.75" thickBot="1" x14ac:dyDescent="0.3">
      <c r="A24" s="6" t="s">
        <v>16</v>
      </c>
      <c r="F24" s="42" t="s">
        <v>91</v>
      </c>
      <c r="G24" s="11">
        <v>1300</v>
      </c>
      <c r="H24" s="1" t="s">
        <v>88</v>
      </c>
      <c r="R24" s="38"/>
    </row>
    <row r="25" spans="1:18" ht="15.75" thickBot="1" x14ac:dyDescent="0.3">
      <c r="A25" s="9" t="s">
        <v>14</v>
      </c>
      <c r="B25" s="3">
        <f>G17</f>
        <v>4.62</v>
      </c>
      <c r="C25" s="1" t="s">
        <v>5</v>
      </c>
      <c r="F25" s="13"/>
      <c r="R25" s="38"/>
    </row>
    <row r="26" spans="1:18" ht="15.75" thickBot="1" x14ac:dyDescent="0.3">
      <c r="A26" s="9" t="s">
        <v>15</v>
      </c>
      <c r="B26" s="3">
        <v>4.62</v>
      </c>
      <c r="C26" s="1" t="s">
        <v>5</v>
      </c>
      <c r="F26"/>
      <c r="R26" s="38"/>
    </row>
    <row r="27" spans="1:18" ht="15.75" thickBot="1" x14ac:dyDescent="0.3">
      <c r="A27" s="9" t="s">
        <v>15</v>
      </c>
      <c r="B27" s="66">
        <v>0</v>
      </c>
      <c r="C27" s="1" t="s">
        <v>0</v>
      </c>
      <c r="F27" s="58"/>
      <c r="R27" s="38"/>
    </row>
    <row r="28" spans="1:18" ht="15.75" thickBot="1" x14ac:dyDescent="0.3">
      <c r="A28" s="6" t="s">
        <v>92</v>
      </c>
      <c r="F28"/>
      <c r="J28" s="39"/>
      <c r="K28" s="39"/>
      <c r="L28" s="38"/>
      <c r="M28" s="38"/>
      <c r="N28" s="38"/>
      <c r="O28" s="38"/>
      <c r="R28" s="38"/>
    </row>
    <row r="29" spans="1:18" ht="15.75" thickBot="1" x14ac:dyDescent="0.3">
      <c r="A29" s="9" t="s">
        <v>87</v>
      </c>
      <c r="B29" s="10">
        <f>B18/G23*1000</f>
        <v>930.90909090909076</v>
      </c>
      <c r="C29" s="1" t="s">
        <v>88</v>
      </c>
      <c r="D29" s="48" t="str">
        <f>IF((B29&gt;G24), "Throughput is higher than camera family data interface capability", "")</f>
        <v/>
      </c>
      <c r="R29" s="38"/>
    </row>
    <row r="30" spans="1:18" x14ac:dyDescent="0.25">
      <c r="F30"/>
      <c r="R30" s="38"/>
    </row>
    <row r="31" spans="1:18" x14ac:dyDescent="0.25">
      <c r="F31"/>
      <c r="R31" s="38"/>
    </row>
    <row r="32" spans="1:18" x14ac:dyDescent="0.25">
      <c r="B32"/>
      <c r="C32"/>
      <c r="F32"/>
      <c r="G32" s="1"/>
      <c r="R32" s="38"/>
    </row>
    <row r="33" spans="6:18" x14ac:dyDescent="0.25">
      <c r="F33"/>
      <c r="R33" s="38"/>
    </row>
    <row r="34" spans="6:18" x14ac:dyDescent="0.25">
      <c r="F34"/>
      <c r="R34" s="38"/>
    </row>
    <row r="35" spans="6:18" x14ac:dyDescent="0.25">
      <c r="F35"/>
    </row>
  </sheetData>
  <dataConsolidate function="countNums"/>
  <dataValidations count="6">
    <dataValidation type="decimal" allowBlank="1" showInputMessage="1" showErrorMessage="1" sqref="B6 B12 B9">
      <formula1>D6</formula1>
      <formula2>E6</formula2>
    </dataValidation>
    <dataValidation type="whole" allowBlank="1" showInputMessage="1" showErrorMessage="1" sqref="B8 B5">
      <formula1>D5</formula1>
      <formula2>E5</formula2>
    </dataValidation>
    <dataValidation type="list" allowBlank="1" showInputMessage="1" showErrorMessage="1" sqref="B2">
      <formula1>"CB042MG-GP-BSI"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4">
      <formula1>"Rolling"</formula1>
    </dataValidation>
    <dataValidation type="decimal" allowBlank="1" showInputMessage="1" showErrorMessage="1" sqref="B10">
      <formula1>D10</formula1>
      <formula2>E10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customWidth="1"/>
    <col min="8" max="8" width="14" customWidth="1"/>
    <col min="9" max="9" width="10.85546875" customWidth="1"/>
    <col min="10" max="10" width="6.42578125" customWidth="1"/>
    <col min="11" max="11" width="16" customWidth="1"/>
    <col min="12" max="18" width="6.7109375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134</v>
      </c>
      <c r="C2" s="7"/>
      <c r="D2" s="7"/>
      <c r="E2" s="7"/>
      <c r="G2" s="2" t="s">
        <v>82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28</v>
      </c>
      <c r="B4" s="55">
        <v>327</v>
      </c>
      <c r="C4" s="1" t="s">
        <v>1</v>
      </c>
      <c r="D4" s="1">
        <v>120</v>
      </c>
      <c r="E4" s="1">
        <v>327</v>
      </c>
      <c r="F4" s="46"/>
      <c r="G4" s="2" t="s">
        <v>44</v>
      </c>
    </row>
    <row r="5" spans="1:18" ht="15.75" thickBot="1" x14ac:dyDescent="0.3">
      <c r="A5" s="9" t="s">
        <v>84</v>
      </c>
      <c r="B5" s="5">
        <v>8</v>
      </c>
      <c r="C5" s="1" t="s">
        <v>0</v>
      </c>
      <c r="D5" s="1">
        <v>8</v>
      </c>
      <c r="E5" s="1">
        <v>12</v>
      </c>
      <c r="F5" s="46" t="s">
        <v>96</v>
      </c>
      <c r="G5" s="2"/>
    </row>
    <row r="6" spans="1:18" ht="15.75" thickBot="1" x14ac:dyDescent="0.3">
      <c r="A6" s="9" t="s">
        <v>38</v>
      </c>
      <c r="B6" s="52" t="s">
        <v>40</v>
      </c>
      <c r="C6" s="1" t="s">
        <v>0</v>
      </c>
      <c r="F6" s="46"/>
      <c r="G6" s="2"/>
    </row>
    <row r="7" spans="1:18" ht="15.75" thickBot="1" x14ac:dyDescent="0.3">
      <c r="A7" s="9" t="s">
        <v>46</v>
      </c>
      <c r="B7" s="4">
        <v>16</v>
      </c>
      <c r="C7" s="1" t="s">
        <v>0</v>
      </c>
      <c r="D7" s="1">
        <v>16</v>
      </c>
      <c r="E7" s="1">
        <v>16</v>
      </c>
      <c r="F7" s="46" t="s">
        <v>97</v>
      </c>
      <c r="G7" s="2" t="s">
        <v>129</v>
      </c>
    </row>
    <row r="8" spans="1:18" ht="15.75" thickBot="1" x14ac:dyDescent="0.3">
      <c r="A8" s="9" t="s">
        <v>23</v>
      </c>
      <c r="B8" s="5">
        <v>4096</v>
      </c>
      <c r="C8" s="1" t="s">
        <v>0</v>
      </c>
      <c r="D8" s="1">
        <v>16</v>
      </c>
      <c r="E8" s="1">
        <v>4096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3072</v>
      </c>
      <c r="C9" s="1" t="s">
        <v>0</v>
      </c>
      <c r="D9" s="1">
        <v>2</v>
      </c>
      <c r="E9" s="1">
        <v>3072</v>
      </c>
      <c r="F9" s="46" t="s">
        <v>99</v>
      </c>
      <c r="G9" s="2" t="s">
        <v>32</v>
      </c>
    </row>
    <row r="10" spans="1:18" ht="15.75" thickBot="1" x14ac:dyDescent="0.3">
      <c r="A10" s="9" t="s">
        <v>58</v>
      </c>
      <c r="B10" s="5">
        <v>1</v>
      </c>
      <c r="C10" s="1" t="s">
        <v>0</v>
      </c>
      <c r="D10" s="1">
        <v>1</v>
      </c>
      <c r="E10" s="1">
        <v>65535</v>
      </c>
      <c r="F10" s="46"/>
      <c r="G10" s="2" t="s">
        <v>130</v>
      </c>
    </row>
    <row r="11" spans="1:18" ht="15.75" thickBot="1" x14ac:dyDescent="0.3">
      <c r="A11" s="9" t="s">
        <v>83</v>
      </c>
      <c r="B11" s="53">
        <v>28.305810397553515</v>
      </c>
      <c r="C11" s="1" t="s">
        <v>5</v>
      </c>
      <c r="D11" s="41">
        <f ca="1">((1-1)*(G22+1)+(34*MOD(G21,256))+1)*G17*B5/1000</f>
        <v>28.305810397553515</v>
      </c>
      <c r="E11" s="41">
        <f ca="1">((65535-1)*(G22+1)+(34*MOD(G21,256))+1)*G17*B5/1000</f>
        <v>413674.10397553514</v>
      </c>
      <c r="F11" s="46" t="s">
        <v>100</v>
      </c>
      <c r="G11" s="2"/>
    </row>
    <row r="12" spans="1:18" ht="15.75" thickBot="1" x14ac:dyDescent="0.3">
      <c r="A12" s="9" t="s">
        <v>85</v>
      </c>
      <c r="B12" s="5">
        <v>8</v>
      </c>
      <c r="C12" s="1" t="s">
        <v>0</v>
      </c>
      <c r="D12" s="41">
        <v>8</v>
      </c>
      <c r="E12" s="41">
        <v>16</v>
      </c>
      <c r="F12" s="46" t="s">
        <v>101</v>
      </c>
      <c r="G12" s="2"/>
    </row>
    <row r="13" spans="1:18" ht="15.75" thickBot="1" x14ac:dyDescent="0.3">
      <c r="A13" s="9" t="s">
        <v>94</v>
      </c>
      <c r="B13" s="54">
        <v>1300</v>
      </c>
      <c r="C13" s="1" t="s">
        <v>19</v>
      </c>
      <c r="D13" s="11">
        <f ca="1">(B8*B9*B12/8/1000000*(1/(((INT(G21/256)+2)*((G22+1)*B5/(D4*1000000)))+(((G22+1)*B5/(D4*1000000))*G25/2))))+10</f>
        <v>483.19835133427603</v>
      </c>
      <c r="E13" s="11">
        <v>2000</v>
      </c>
      <c r="F13" s="46" t="s">
        <v>102</v>
      </c>
      <c r="G13" s="2" t="s">
        <v>131</v>
      </c>
    </row>
    <row r="15" spans="1:18" ht="15.75" thickBot="1" x14ac:dyDescent="0.3">
      <c r="A15" s="6" t="s">
        <v>24</v>
      </c>
      <c r="K15" s="6" t="s">
        <v>51</v>
      </c>
    </row>
    <row r="16" spans="1:18" ht="15.75" thickBot="1" x14ac:dyDescent="0.3">
      <c r="A16" s="6" t="s">
        <v>17</v>
      </c>
      <c r="F16" s="6" t="s">
        <v>30</v>
      </c>
      <c r="G16" s="1"/>
      <c r="H16" s="1"/>
      <c r="J16" s="29"/>
      <c r="K16" s="28" t="s">
        <v>45</v>
      </c>
      <c r="L16" s="27"/>
      <c r="M16" s="34">
        <v>32</v>
      </c>
      <c r="N16" s="35">
        <v>16</v>
      </c>
      <c r="O16" s="34">
        <v>8</v>
      </c>
      <c r="P16" s="35">
        <v>4</v>
      </c>
      <c r="Q16" s="34">
        <v>2</v>
      </c>
      <c r="R16" s="36">
        <v>1</v>
      </c>
    </row>
    <row r="17" spans="1:18" ht="15.75" thickBot="1" x14ac:dyDescent="0.3">
      <c r="A17" s="9" t="s">
        <v>36</v>
      </c>
      <c r="B17" s="10">
        <f>B9*B8/1000000</f>
        <v>12.582912</v>
      </c>
      <c r="C17" s="1" t="s">
        <v>22</v>
      </c>
      <c r="F17" s="42" t="s">
        <v>2</v>
      </c>
      <c r="G17" s="11">
        <f>1000/B4</f>
        <v>3.0581039755351682</v>
      </c>
      <c r="H17" s="1" t="s">
        <v>3</v>
      </c>
      <c r="J17" s="24" t="s">
        <v>55</v>
      </c>
      <c r="K17" s="25" t="s">
        <v>40</v>
      </c>
      <c r="L17" s="23" t="s">
        <v>47</v>
      </c>
      <c r="M17" s="19">
        <v>3618</v>
      </c>
      <c r="N17" s="19">
        <v>2082</v>
      </c>
      <c r="O17" s="19">
        <v>1058</v>
      </c>
      <c r="P17" s="19">
        <v>546</v>
      </c>
      <c r="Q17" s="19">
        <v>290</v>
      </c>
      <c r="R17" s="30">
        <v>290</v>
      </c>
    </row>
    <row r="18" spans="1:18" ht="15.75" thickBot="1" x14ac:dyDescent="0.3">
      <c r="A18" s="9" t="s">
        <v>21</v>
      </c>
      <c r="B18" s="10">
        <f>B17*B12/8</f>
        <v>12.582912</v>
      </c>
      <c r="C18" s="1" t="s">
        <v>35</v>
      </c>
      <c r="F18" s="42" t="s">
        <v>53</v>
      </c>
      <c r="G18" s="1">
        <f>LOG(B7,2)</f>
        <v>4</v>
      </c>
      <c r="H18" s="1" t="s">
        <v>0</v>
      </c>
      <c r="J18" s="25"/>
      <c r="K18" s="25"/>
      <c r="L18" s="21" t="s">
        <v>48</v>
      </c>
      <c r="M18" s="16">
        <v>143</v>
      </c>
      <c r="N18" s="16">
        <v>257</v>
      </c>
      <c r="O18" s="16">
        <v>515</v>
      </c>
      <c r="P18" s="16">
        <v>1031</v>
      </c>
      <c r="Q18" s="16">
        <v>2063</v>
      </c>
      <c r="R18" s="31">
        <v>4127</v>
      </c>
    </row>
    <row r="19" spans="1:18" ht="15.75" thickBot="1" x14ac:dyDescent="0.3">
      <c r="A19" s="9" t="s">
        <v>7</v>
      </c>
      <c r="B19" s="10">
        <f ca="1">MAX(G26,B25/1000)+G23/1000</f>
        <v>9.7582385321100915</v>
      </c>
      <c r="C19" s="1" t="s">
        <v>6</v>
      </c>
      <c r="F19" s="42" t="s">
        <v>52</v>
      </c>
      <c r="G19" s="1">
        <f>ISNUMBER(FIND(B6,"Normal"))*1+ISNUMBER(FIND(B6,"Skipping 2x2"))*2+ISNUMBER(FIND(B6,"Binning 2x2"))*3</f>
        <v>1</v>
      </c>
      <c r="H19" s="1" t="s">
        <v>0</v>
      </c>
      <c r="J19" s="25"/>
      <c r="K19" s="25" t="s">
        <v>49</v>
      </c>
      <c r="L19" s="21" t="s">
        <v>47</v>
      </c>
      <c r="M19" s="16">
        <v>2338</v>
      </c>
      <c r="N19" s="16">
        <v>2082</v>
      </c>
      <c r="O19" s="16">
        <v>1058</v>
      </c>
      <c r="P19" s="16">
        <v>546</v>
      </c>
      <c r="Q19" s="16">
        <v>290</v>
      </c>
      <c r="R19" s="31">
        <v>290</v>
      </c>
    </row>
    <row r="20" spans="1:18" ht="15.75" thickBot="1" x14ac:dyDescent="0.3">
      <c r="A20" s="9" t="s">
        <v>20</v>
      </c>
      <c r="B20" s="3">
        <f ca="1">1000/B19</f>
        <v>102.47751135714071</v>
      </c>
      <c r="C20" s="1" t="s">
        <v>0</v>
      </c>
      <c r="F20" s="42" t="s">
        <v>54</v>
      </c>
      <c r="G20" s="1">
        <f>(B5-8)/2</f>
        <v>0</v>
      </c>
      <c r="H20" s="1" t="s">
        <v>0</v>
      </c>
      <c r="J20" s="25"/>
      <c r="K20" s="25"/>
      <c r="L20" s="21" t="s">
        <v>48</v>
      </c>
      <c r="M20" s="16">
        <v>239</v>
      </c>
      <c r="N20" s="16">
        <v>257</v>
      </c>
      <c r="O20" s="16">
        <v>515</v>
      </c>
      <c r="P20" s="16">
        <v>1031</v>
      </c>
      <c r="Q20" s="16">
        <v>2063</v>
      </c>
      <c r="R20" s="31">
        <v>4127</v>
      </c>
    </row>
    <row r="21" spans="1:18" ht="15.75" thickBot="1" x14ac:dyDescent="0.3">
      <c r="A21" s="9" t="s">
        <v>18</v>
      </c>
      <c r="B21" s="10">
        <f ca="1">B18/B19*1000</f>
        <v>1289.4655073859024</v>
      </c>
      <c r="C21" s="1" t="s">
        <v>19</v>
      </c>
      <c r="F21" s="42" t="s">
        <v>26</v>
      </c>
      <c r="G21" s="1">
        <f ca="1">INDIRECT(ADDRESS(17+2*(G19-1)+6*G20,13+5-G18))</f>
        <v>2082</v>
      </c>
      <c r="H21" s="1" t="s">
        <v>0</v>
      </c>
      <c r="J21" s="25"/>
      <c r="K21" s="25" t="s">
        <v>50</v>
      </c>
      <c r="L21" s="21" t="s">
        <v>47</v>
      </c>
      <c r="M21" s="16">
        <v>802</v>
      </c>
      <c r="N21" s="16">
        <v>802</v>
      </c>
      <c r="O21" s="16">
        <v>802</v>
      </c>
      <c r="P21" s="16">
        <v>546</v>
      </c>
      <c r="Q21" s="16">
        <v>290</v>
      </c>
      <c r="R21" s="31">
        <v>290</v>
      </c>
    </row>
    <row r="22" spans="1:18" ht="15.75" thickBot="1" x14ac:dyDescent="0.3">
      <c r="F22" s="42" t="s">
        <v>37</v>
      </c>
      <c r="G22" s="1">
        <f ca="1">INDIRECT(ADDRESS(18+2*(G19-1)+6*G20,13+5-G18))</f>
        <v>257</v>
      </c>
      <c r="H22" s="1" t="s">
        <v>0</v>
      </c>
      <c r="J22" s="26"/>
      <c r="K22" s="25"/>
      <c r="L22" s="22" t="s">
        <v>48</v>
      </c>
      <c r="M22" s="18">
        <v>767</v>
      </c>
      <c r="N22" s="18">
        <v>767</v>
      </c>
      <c r="O22" s="18">
        <v>767</v>
      </c>
      <c r="P22" s="18">
        <v>1031</v>
      </c>
      <c r="Q22" s="18">
        <v>2063</v>
      </c>
      <c r="R22" s="32">
        <v>4127</v>
      </c>
    </row>
    <row r="23" spans="1:18" ht="15.75" thickBot="1" x14ac:dyDescent="0.3">
      <c r="A23" s="6" t="s">
        <v>16</v>
      </c>
      <c r="F23" s="42" t="s">
        <v>4</v>
      </c>
      <c r="G23" s="11">
        <f ca="1">(INT(G21/256)+2)*G24</f>
        <v>63.119266055045877</v>
      </c>
      <c r="H23" s="1" t="s">
        <v>5</v>
      </c>
      <c r="J23" s="24" t="s">
        <v>56</v>
      </c>
      <c r="K23" s="24" t="s">
        <v>40</v>
      </c>
      <c r="L23" s="20" t="s">
        <v>47</v>
      </c>
      <c r="M23" s="17">
        <v>3099</v>
      </c>
      <c r="N23" s="17">
        <v>1563</v>
      </c>
      <c r="O23" s="17">
        <v>795</v>
      </c>
      <c r="P23" s="17">
        <v>539</v>
      </c>
      <c r="Q23" s="17">
        <v>283</v>
      </c>
      <c r="R23" s="33">
        <v>283</v>
      </c>
    </row>
    <row r="24" spans="1:18" ht="15.75" thickBot="1" x14ac:dyDescent="0.3">
      <c r="A24" s="9" t="s">
        <v>14</v>
      </c>
      <c r="B24" s="3">
        <f ca="1">D11</f>
        <v>28.305810397553515</v>
      </c>
      <c r="C24" s="1" t="s">
        <v>5</v>
      </c>
      <c r="F24" s="42" t="s">
        <v>25</v>
      </c>
      <c r="G24" s="12">
        <f ca="1">(G22+1)*G17*B5/1000</f>
        <v>6.3119266055045875</v>
      </c>
      <c r="H24" s="1" t="s">
        <v>5</v>
      </c>
      <c r="J24" s="25"/>
      <c r="K24" s="25"/>
      <c r="L24" s="21" t="s">
        <v>48</v>
      </c>
      <c r="M24" s="16">
        <v>128</v>
      </c>
      <c r="N24" s="16">
        <v>257</v>
      </c>
      <c r="O24" s="16">
        <v>515</v>
      </c>
      <c r="P24" s="16">
        <v>1031</v>
      </c>
      <c r="Q24" s="16">
        <v>2063</v>
      </c>
      <c r="R24" s="31">
        <v>4127</v>
      </c>
    </row>
    <row r="25" spans="1:18" ht="15.75" thickBot="1" x14ac:dyDescent="0.3">
      <c r="A25" s="9" t="s">
        <v>15</v>
      </c>
      <c r="B25" s="3">
        <f ca="1">((B10-1)*(G22+1)+(34*MOD(G21,256))+1)*G17*B5/1000</f>
        <v>28.305810397553515</v>
      </c>
      <c r="C25" s="1" t="s">
        <v>5</v>
      </c>
      <c r="F25" s="42" t="s">
        <v>39</v>
      </c>
      <c r="G25" s="1">
        <v>3072</v>
      </c>
      <c r="H25" s="1" t="s">
        <v>0</v>
      </c>
      <c r="J25" s="25"/>
      <c r="K25" s="25" t="s">
        <v>49</v>
      </c>
      <c r="L25" s="21" t="s">
        <v>47</v>
      </c>
      <c r="M25" s="16">
        <v>2843</v>
      </c>
      <c r="N25" s="16">
        <v>1563</v>
      </c>
      <c r="O25" s="16">
        <v>795</v>
      </c>
      <c r="P25" s="16">
        <v>539</v>
      </c>
      <c r="Q25" s="16">
        <v>283</v>
      </c>
      <c r="R25" s="31">
        <v>283</v>
      </c>
    </row>
    <row r="26" spans="1:18" x14ac:dyDescent="0.25">
      <c r="F26" s="42" t="s">
        <v>27</v>
      </c>
      <c r="G26" s="40">
        <f ca="1">G24*G25/2/1000</f>
        <v>9.6951192660550465</v>
      </c>
      <c r="H26" s="1" t="s">
        <v>6</v>
      </c>
      <c r="J26" s="25"/>
      <c r="K26" s="25"/>
      <c r="L26" s="21" t="s">
        <v>48</v>
      </c>
      <c r="M26" s="16">
        <v>143</v>
      </c>
      <c r="N26" s="16">
        <v>257</v>
      </c>
      <c r="O26" s="16">
        <v>515</v>
      </c>
      <c r="P26" s="16">
        <v>1031</v>
      </c>
      <c r="Q26" s="16">
        <v>2063</v>
      </c>
      <c r="R26" s="31">
        <v>4127</v>
      </c>
    </row>
    <row r="27" spans="1:18" ht="15.75" thickBot="1" x14ac:dyDescent="0.3">
      <c r="A27" s="6" t="s">
        <v>92</v>
      </c>
      <c r="F27" s="42" t="s">
        <v>91</v>
      </c>
      <c r="G27" s="11">
        <v>1300</v>
      </c>
      <c r="H27" s="1" t="s">
        <v>88</v>
      </c>
      <c r="J27" s="25"/>
      <c r="K27" s="25" t="s">
        <v>50</v>
      </c>
      <c r="L27" s="21" t="s">
        <v>47</v>
      </c>
      <c r="M27" s="16">
        <v>798</v>
      </c>
      <c r="N27" s="16">
        <v>798</v>
      </c>
      <c r="O27" s="16">
        <v>798</v>
      </c>
      <c r="P27" s="16">
        <v>542</v>
      </c>
      <c r="Q27" s="16">
        <v>286</v>
      </c>
      <c r="R27" s="31">
        <v>286</v>
      </c>
    </row>
    <row r="28" spans="1:18" ht="15.75" thickBot="1" x14ac:dyDescent="0.3">
      <c r="A28" s="9" t="s">
        <v>87</v>
      </c>
      <c r="B28" s="10">
        <f ca="1">B18/G26*1000</f>
        <v>1297.8604651162791</v>
      </c>
      <c r="C28" s="1" t="s">
        <v>88</v>
      </c>
      <c r="D28" s="48" t="str">
        <f ca="1">IF((B28&gt;G27), "Throughput is higher than camera family data interface capability", "")</f>
        <v/>
      </c>
      <c r="J28" s="26"/>
      <c r="K28" s="26"/>
      <c r="L28" s="22" t="s">
        <v>48</v>
      </c>
      <c r="M28" s="18">
        <v>575</v>
      </c>
      <c r="N28" s="18">
        <v>575</v>
      </c>
      <c r="O28" s="18">
        <v>575</v>
      </c>
      <c r="P28" s="18">
        <v>1031</v>
      </c>
      <c r="Q28" s="18">
        <v>2063</v>
      </c>
      <c r="R28" s="32">
        <v>4127</v>
      </c>
    </row>
    <row r="29" spans="1:18" x14ac:dyDescent="0.25">
      <c r="D29" s="56" t="str">
        <f ca="1">IF((B28&gt;G27), "Interface throughput maximum may vary depending on PCIe TLP size of the system", "")</f>
        <v/>
      </c>
      <c r="J29" s="14" t="s">
        <v>57</v>
      </c>
      <c r="K29" s="25" t="s">
        <v>40</v>
      </c>
      <c r="L29" s="23" t="s">
        <v>47</v>
      </c>
      <c r="M29" s="19">
        <v>1822</v>
      </c>
      <c r="N29" s="19">
        <v>1822</v>
      </c>
      <c r="O29" s="19">
        <v>1054</v>
      </c>
      <c r="P29" s="19">
        <v>542</v>
      </c>
      <c r="Q29" s="19">
        <v>286</v>
      </c>
      <c r="R29" s="30">
        <v>286</v>
      </c>
    </row>
    <row r="30" spans="1:18" x14ac:dyDescent="0.25">
      <c r="G30" s="1"/>
      <c r="J30" s="14"/>
      <c r="K30" s="25"/>
      <c r="L30" s="21" t="s">
        <v>48</v>
      </c>
      <c r="M30" s="16">
        <v>244</v>
      </c>
      <c r="N30" s="16">
        <v>257</v>
      </c>
      <c r="O30" s="16">
        <v>515</v>
      </c>
      <c r="P30" s="16">
        <v>1031</v>
      </c>
      <c r="Q30" s="16">
        <v>2063</v>
      </c>
      <c r="R30" s="31">
        <v>4127</v>
      </c>
    </row>
    <row r="31" spans="1:18" x14ac:dyDescent="0.25">
      <c r="B31" s="44"/>
      <c r="C31"/>
      <c r="F31"/>
      <c r="J31" s="14"/>
      <c r="K31" s="25" t="s">
        <v>49</v>
      </c>
      <c r="L31" s="21" t="s">
        <v>47</v>
      </c>
      <c r="M31" s="16">
        <v>2078</v>
      </c>
      <c r="N31" s="16">
        <v>3102</v>
      </c>
      <c r="O31" s="16">
        <v>1054</v>
      </c>
      <c r="P31" s="16">
        <v>542</v>
      </c>
      <c r="Q31" s="16">
        <v>286</v>
      </c>
      <c r="R31" s="31">
        <v>286</v>
      </c>
    </row>
    <row r="32" spans="1:18" x14ac:dyDescent="0.25">
      <c r="F32"/>
      <c r="J32" s="14"/>
      <c r="K32" s="25"/>
      <c r="L32" s="21" t="s">
        <v>48</v>
      </c>
      <c r="M32" s="16">
        <v>239</v>
      </c>
      <c r="N32" s="16">
        <v>257</v>
      </c>
      <c r="O32" s="16">
        <v>515</v>
      </c>
      <c r="P32" s="16">
        <v>1031</v>
      </c>
      <c r="Q32" s="16">
        <v>2063</v>
      </c>
      <c r="R32" s="31">
        <v>4127</v>
      </c>
    </row>
    <row r="33" spans="6:18" x14ac:dyDescent="0.25">
      <c r="F33"/>
      <c r="J33" s="14"/>
      <c r="K33" s="25" t="s">
        <v>50</v>
      </c>
      <c r="L33" s="21" t="s">
        <v>47</v>
      </c>
      <c r="M33" s="16">
        <v>1054</v>
      </c>
      <c r="N33" s="16">
        <v>1054</v>
      </c>
      <c r="O33" s="16">
        <v>1054</v>
      </c>
      <c r="P33" s="16">
        <v>542</v>
      </c>
      <c r="Q33" s="16">
        <v>286</v>
      </c>
      <c r="R33" s="31">
        <v>286</v>
      </c>
    </row>
    <row r="34" spans="6:18" ht="15.75" thickBot="1" x14ac:dyDescent="0.3">
      <c r="F34"/>
      <c r="J34" s="15"/>
      <c r="K34" s="26"/>
      <c r="L34" s="22" t="s">
        <v>48</v>
      </c>
      <c r="M34" s="18">
        <v>479</v>
      </c>
      <c r="N34" s="18">
        <v>479</v>
      </c>
      <c r="O34" s="18">
        <v>515</v>
      </c>
      <c r="P34" s="18">
        <v>1031</v>
      </c>
      <c r="Q34" s="18">
        <v>2063</v>
      </c>
      <c r="R34" s="32">
        <v>4127</v>
      </c>
    </row>
  </sheetData>
  <dataConsolidate function="countNums" link="1"/>
  <dataValidations count="6">
    <dataValidation type="decimal" allowBlank="1" showInputMessage="1" showErrorMessage="1" sqref="B8:B10 B13">
      <formula1>D8</formula1>
      <formula2>E8</formula2>
    </dataValidation>
    <dataValidation type="list" allowBlank="1" showInputMessage="1" showErrorMessage="1" sqref="B5">
      <formula1>"8,10,12"</formula1>
    </dataValidation>
    <dataValidation type="list" allowBlank="1" showInputMessage="1" showErrorMessage="1" sqref="B6">
      <formula1>"Normal,Skipping 2x2,Binning 2x2"</formula1>
    </dataValidation>
    <dataValidation type="list" allowBlank="1" showInputMessage="1" showErrorMessage="1" sqref="B2">
      <formula1>"CB120,CB120-X8G3"</formula1>
    </dataValidation>
    <dataValidation operator="greaterThan" allowBlank="1" showInputMessage="1" showErrorMessage="1" sqref="B4"/>
    <dataValidation type="list" allowBlank="1" showInputMessage="1" showErrorMessage="1" sqref="B12">
      <formula1>"8, 10, 12, 16"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8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customWidth="1"/>
    <col min="8" max="8" width="14" customWidth="1"/>
    <col min="9" max="9" width="10.85546875" customWidth="1"/>
  </cols>
  <sheetData>
    <row r="1" spans="1:8" ht="15.75" thickBot="1" x14ac:dyDescent="0.3">
      <c r="G1" s="8" t="s">
        <v>13</v>
      </c>
    </row>
    <row r="2" spans="1:8" ht="15.75" thickBot="1" x14ac:dyDescent="0.3">
      <c r="A2" s="6" t="s">
        <v>81</v>
      </c>
      <c r="B2" s="4" t="s">
        <v>132</v>
      </c>
      <c r="C2" s="7"/>
      <c r="D2" s="7"/>
      <c r="E2" s="7"/>
      <c r="G2" s="2"/>
      <c r="H2" s="2"/>
    </row>
    <row r="3" spans="1: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8" ht="15.75" thickBot="1" x14ac:dyDescent="0.3">
      <c r="A4" s="9" t="s">
        <v>28</v>
      </c>
      <c r="B4" s="4">
        <v>480</v>
      </c>
      <c r="C4" s="1" t="s">
        <v>1</v>
      </c>
      <c r="D4" s="1">
        <v>120</v>
      </c>
      <c r="E4" s="1">
        <v>480</v>
      </c>
      <c r="F4" s="46"/>
      <c r="G4" s="2" t="s">
        <v>31</v>
      </c>
    </row>
    <row r="5" spans="1:8" ht="15.75" thickBot="1" x14ac:dyDescent="0.3">
      <c r="A5" s="9" t="s">
        <v>84</v>
      </c>
      <c r="B5" s="5">
        <v>12</v>
      </c>
      <c r="C5" s="1" t="s">
        <v>0</v>
      </c>
      <c r="D5" s="1">
        <v>12</v>
      </c>
      <c r="E5" s="1">
        <v>12</v>
      </c>
      <c r="F5" s="46" t="s">
        <v>96</v>
      </c>
      <c r="G5" s="2" t="s">
        <v>133</v>
      </c>
    </row>
    <row r="6" spans="1:8" ht="15.75" thickBot="1" x14ac:dyDescent="0.3">
      <c r="A6" s="9" t="s">
        <v>23</v>
      </c>
      <c r="B6" s="4">
        <v>5120</v>
      </c>
      <c r="C6" s="1" t="s">
        <v>0</v>
      </c>
      <c r="D6" s="1">
        <v>16</v>
      </c>
      <c r="E6" s="1">
        <v>5120</v>
      </c>
      <c r="F6" s="46" t="s">
        <v>98</v>
      </c>
      <c r="G6" s="2" t="s">
        <v>33</v>
      </c>
    </row>
    <row r="7" spans="1:8" ht="15.75" thickBot="1" x14ac:dyDescent="0.3">
      <c r="A7" s="9" t="s">
        <v>29</v>
      </c>
      <c r="B7" s="4">
        <v>3840</v>
      </c>
      <c r="C7" s="1" t="s">
        <v>0</v>
      </c>
      <c r="D7" s="1">
        <v>2</v>
      </c>
      <c r="E7" s="1">
        <v>3840</v>
      </c>
      <c r="F7" s="46" t="s">
        <v>99</v>
      </c>
      <c r="G7" s="2" t="s">
        <v>32</v>
      </c>
    </row>
    <row r="8" spans="1:8" ht="15.75" thickBot="1" x14ac:dyDescent="0.3">
      <c r="A8" s="9" t="s">
        <v>58</v>
      </c>
      <c r="B8" s="5">
        <v>1</v>
      </c>
      <c r="C8" s="1" t="s">
        <v>0</v>
      </c>
      <c r="D8" s="1">
        <v>1</v>
      </c>
      <c r="E8" s="1">
        <v>65535</v>
      </c>
      <c r="F8" s="46"/>
      <c r="G8" s="2" t="s">
        <v>34</v>
      </c>
    </row>
    <row r="9" spans="1:8" ht="15.75" thickBot="1" x14ac:dyDescent="0.3">
      <c r="A9" s="9" t="s">
        <v>83</v>
      </c>
      <c r="B9" s="53">
        <v>94.025000000000006</v>
      </c>
      <c r="C9" s="1" t="s">
        <v>5</v>
      </c>
      <c r="D9" s="41">
        <f>((D8-1)*641+1+47*80)*G16/1000</f>
        <v>94.025000000000006</v>
      </c>
      <c r="E9" s="41">
        <f>((E8-1)*641+1+47*80)*G16/1000</f>
        <v>1050276.375</v>
      </c>
      <c r="F9" s="46" t="s">
        <v>100</v>
      </c>
    </row>
    <row r="10" spans="1:8" ht="15.75" thickBot="1" x14ac:dyDescent="0.3">
      <c r="A10" s="9" t="s">
        <v>85</v>
      </c>
      <c r="B10" s="5">
        <v>8</v>
      </c>
      <c r="C10" s="1" t="s">
        <v>0</v>
      </c>
      <c r="D10" s="41">
        <v>8</v>
      </c>
      <c r="E10" s="1">
        <v>16</v>
      </c>
      <c r="F10" s="46" t="s">
        <v>101</v>
      </c>
      <c r="G10" s="2"/>
    </row>
    <row r="11" spans="1:8" ht="15.75" thickBot="1" x14ac:dyDescent="0.3">
      <c r="A11" s="9" t="s">
        <v>94</v>
      </c>
      <c r="B11" s="54">
        <v>1300</v>
      </c>
      <c r="C11" s="1" t="s">
        <v>19</v>
      </c>
      <c r="D11" s="11">
        <f xml:space="preserve"> (B6*B7*B10/8) / ((641 * (1/((D4 / 12) * 1000000)) / 2)  * B7) / 1000000</f>
        <v>159.75039001560063</v>
      </c>
      <c r="E11" s="11">
        <v>2000</v>
      </c>
      <c r="F11" s="46" t="s">
        <v>102</v>
      </c>
      <c r="G11" s="2" t="s">
        <v>131</v>
      </c>
    </row>
    <row r="13" spans="1:8" x14ac:dyDescent="0.25">
      <c r="A13" s="6" t="s">
        <v>24</v>
      </c>
    </row>
    <row r="14" spans="1:8" ht="15.75" thickBot="1" x14ac:dyDescent="0.3">
      <c r="A14" s="6" t="s">
        <v>17</v>
      </c>
      <c r="F14" s="6" t="s">
        <v>30</v>
      </c>
      <c r="G14" s="1"/>
      <c r="H14" s="1"/>
    </row>
    <row r="15" spans="1:8" ht="15.75" thickBot="1" x14ac:dyDescent="0.3">
      <c r="A15" s="9" t="s">
        <v>36</v>
      </c>
      <c r="B15" s="10">
        <f>B7*B6/1000000</f>
        <v>19.660799999999998</v>
      </c>
      <c r="C15" s="1" t="s">
        <v>22</v>
      </c>
      <c r="F15" s="9" t="s">
        <v>42</v>
      </c>
      <c r="G15" s="11">
        <f>B4/12</f>
        <v>40</v>
      </c>
      <c r="H15" s="1" t="s">
        <v>1</v>
      </c>
    </row>
    <row r="16" spans="1:8" ht="15.75" thickBot="1" x14ac:dyDescent="0.3">
      <c r="A16" s="9" t="s">
        <v>21</v>
      </c>
      <c r="B16" s="10">
        <f>B6*B7/8*B10/1000000</f>
        <v>19.660799999999998</v>
      </c>
      <c r="C16" s="1" t="s">
        <v>35</v>
      </c>
      <c r="F16" s="9" t="s">
        <v>41</v>
      </c>
      <c r="G16" s="11">
        <f>1000/G15</f>
        <v>25</v>
      </c>
      <c r="H16" s="1" t="s">
        <v>3</v>
      </c>
    </row>
    <row r="17" spans="1:13" ht="15.75" thickBot="1" x14ac:dyDescent="0.3">
      <c r="A17" s="9" t="s">
        <v>7</v>
      </c>
      <c r="B17" s="10">
        <f>MAX(G18,B23/1000)+G17/1000</f>
        <v>30.9603</v>
      </c>
      <c r="C17" s="1" t="s">
        <v>6</v>
      </c>
      <c r="F17" s="9" t="s">
        <v>4</v>
      </c>
      <c r="G17" s="57">
        <f>((80*80+80/8)+2*641)*G16/1000</f>
        <v>192.3</v>
      </c>
      <c r="H17" s="1" t="s">
        <v>5</v>
      </c>
      <c r="K17" s="1"/>
      <c r="L17" s="1"/>
      <c r="M17" s="2"/>
    </row>
    <row r="18" spans="1:13" ht="15.75" thickBot="1" x14ac:dyDescent="0.3">
      <c r="A18" s="9" t="s">
        <v>20</v>
      </c>
      <c r="B18" s="3">
        <f>1000/B17</f>
        <v>32.299428623107659</v>
      </c>
      <c r="C18" s="1" t="s">
        <v>0</v>
      </c>
      <c r="F18" s="9" t="s">
        <v>43</v>
      </c>
      <c r="G18" s="40">
        <f>641*G16*B7/2/1000000</f>
        <v>30.768000000000001</v>
      </c>
      <c r="H18" s="1" t="s">
        <v>6</v>
      </c>
      <c r="K18" s="1"/>
      <c r="L18" s="1"/>
      <c r="M18" s="2"/>
    </row>
    <row r="19" spans="1:13" ht="15.75" thickBot="1" x14ac:dyDescent="0.3">
      <c r="A19" s="9" t="s">
        <v>18</v>
      </c>
      <c r="B19" s="10">
        <f>B16/B17*1000</f>
        <v>635.03260627319503</v>
      </c>
      <c r="C19" s="1" t="s">
        <v>19</v>
      </c>
      <c r="F19" s="9" t="s">
        <v>91</v>
      </c>
      <c r="G19" s="11">
        <v>1300</v>
      </c>
      <c r="H19" s="1" t="s">
        <v>88</v>
      </c>
      <c r="I19" s="1"/>
      <c r="K19" s="1"/>
      <c r="L19" s="1"/>
      <c r="M19" s="2"/>
    </row>
    <row r="20" spans="1:13" x14ac:dyDescent="0.25">
      <c r="G20" s="13"/>
    </row>
    <row r="21" spans="1:13" ht="15.75" thickBot="1" x14ac:dyDescent="0.3">
      <c r="A21" s="6" t="s">
        <v>16</v>
      </c>
      <c r="F21" s="13"/>
    </row>
    <row r="22" spans="1:13" ht="15.75" thickBot="1" x14ac:dyDescent="0.3">
      <c r="A22" s="9" t="s">
        <v>14</v>
      </c>
      <c r="B22" s="3">
        <f>(1+47*80)*G16/1000</f>
        <v>94.025000000000006</v>
      </c>
      <c r="C22" s="1" t="s">
        <v>5</v>
      </c>
    </row>
    <row r="23" spans="1:13" ht="15.75" thickBot="1" x14ac:dyDescent="0.3">
      <c r="A23" s="9" t="s">
        <v>15</v>
      </c>
      <c r="B23" s="3">
        <f>((B8-1)*641+1+47*80)*G16/1000</f>
        <v>94.025000000000006</v>
      </c>
      <c r="C23" s="1" t="s">
        <v>5</v>
      </c>
      <c r="F23"/>
    </row>
    <row r="24" spans="1:13" x14ac:dyDescent="0.25">
      <c r="F24"/>
    </row>
    <row r="25" spans="1:13" ht="15.75" thickBot="1" x14ac:dyDescent="0.3">
      <c r="A25" s="6" t="s">
        <v>92</v>
      </c>
      <c r="F25"/>
    </row>
    <row r="26" spans="1:13" ht="15.75" thickBot="1" x14ac:dyDescent="0.3">
      <c r="A26" s="9" t="s">
        <v>87</v>
      </c>
      <c r="B26" s="10">
        <f>B16/G18*1000</f>
        <v>639.0015600624024</v>
      </c>
      <c r="C26" s="1" t="s">
        <v>88</v>
      </c>
      <c r="D26" s="48" t="str">
        <f>IF((B26&gt;G19), "Throughput is higher than camera family data interface capability", "")</f>
        <v/>
      </c>
      <c r="F26"/>
    </row>
    <row r="27" spans="1:13" x14ac:dyDescent="0.25">
      <c r="D27" s="2" t="str">
        <f>IF((B26&gt;G19), "Interface throughput maximum may vary depending on PCIe TLP size of the system", "")</f>
        <v/>
      </c>
      <c r="F27"/>
    </row>
    <row r="28" spans="1:13" x14ac:dyDescent="0.25">
      <c r="F28"/>
    </row>
  </sheetData>
  <dataConsolidate function="countNums" link="1"/>
  <dataValidations count="4">
    <dataValidation type="list" allowBlank="1" showInputMessage="1" showErrorMessage="1" sqref="B5">
      <formula1>"12"</formula1>
    </dataValidation>
    <dataValidation type="decimal" allowBlank="1" showInputMessage="1" showErrorMessage="1" sqref="B11 B6:B8">
      <formula1>D6</formula1>
      <formula2>E6</formula2>
    </dataValidation>
    <dataValidation type="list" allowBlank="1" showInputMessage="1" showErrorMessage="1" sqref="B2">
      <formula1>"CB200,"</formula1>
    </dataValidation>
    <dataValidation type="list" allowBlank="1" showInputMessage="1" showErrorMessage="1" sqref="B10">
      <formula1>"8, 10, 12, 16"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136</v>
      </c>
      <c r="G2" s="2" t="s">
        <v>138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12</v>
      </c>
      <c r="C4" s="1" t="s">
        <v>0</v>
      </c>
      <c r="D4" s="1">
        <v>12</v>
      </c>
      <c r="E4" s="1">
        <v>12</v>
      </c>
      <c r="F4" s="46" t="s">
        <v>96</v>
      </c>
      <c r="G4" s="2" t="s">
        <v>137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142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143</v>
      </c>
    </row>
    <row r="7" spans="1:18" ht="15.75" thickBot="1" x14ac:dyDescent="0.3">
      <c r="A7" s="9" t="s">
        <v>45</v>
      </c>
      <c r="B7" s="4">
        <v>22</v>
      </c>
      <c r="C7" s="1" t="s">
        <v>0</v>
      </c>
      <c r="D7" s="1">
        <v>22</v>
      </c>
      <c r="E7" s="1">
        <v>22</v>
      </c>
      <c r="F7" s="46" t="s">
        <v>97</v>
      </c>
      <c r="G7" s="2"/>
    </row>
    <row r="8" spans="1:18" ht="15.75" thickBot="1" x14ac:dyDescent="0.3">
      <c r="A8" s="9" t="s">
        <v>23</v>
      </c>
      <c r="B8" s="4">
        <v>7920</v>
      </c>
      <c r="C8" s="1" t="s">
        <v>0</v>
      </c>
      <c r="D8" s="1">
        <v>8</v>
      </c>
      <c r="E8" s="1">
        <v>7920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6004</v>
      </c>
      <c r="C9" s="1" t="s">
        <v>0</v>
      </c>
      <c r="D9" s="1">
        <v>2</v>
      </c>
      <c r="E9" s="1">
        <v>6004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100</v>
      </c>
      <c r="C10" s="1" t="s">
        <v>5</v>
      </c>
      <c r="D10" s="41">
        <v>100</v>
      </c>
      <c r="E10" s="1">
        <v>17000000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18" ht="15.75" thickBot="1" x14ac:dyDescent="0.3">
      <c r="A12" s="9" t="s">
        <v>94</v>
      </c>
      <c r="B12" s="47">
        <v>1300</v>
      </c>
      <c r="C12" s="1" t="s">
        <v>19</v>
      </c>
      <c r="D12" s="11">
        <v>43.4370994323384</v>
      </c>
      <c r="E12" s="11">
        <v>2000</v>
      </c>
      <c r="F12" s="46" t="s">
        <v>102</v>
      </c>
      <c r="G12" s="2" t="s">
        <v>144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</row>
    <row r="16" spans="1:18" ht="15.75" thickBot="1" x14ac:dyDescent="0.3">
      <c r="A16" s="9" t="s">
        <v>36</v>
      </c>
      <c r="B16" s="10">
        <f>B9*B8/1000000</f>
        <v>47.551679999999998</v>
      </c>
      <c r="C16" s="1" t="s">
        <v>22</v>
      </c>
      <c r="F16" s="42"/>
      <c r="G16" s="1"/>
      <c r="H16" s="1"/>
      <c r="R16" s="37"/>
    </row>
    <row r="17" spans="1:18" ht="15.75" thickBot="1" x14ac:dyDescent="0.3">
      <c r="A17" s="9" t="s">
        <v>21</v>
      </c>
      <c r="B17" s="10">
        <f>B8*B9/8*B11/1000000</f>
        <v>47.551679999999998</v>
      </c>
      <c r="C17" s="1" t="s">
        <v>35</v>
      </c>
      <c r="F17" s="50"/>
      <c r="G17" s="1"/>
      <c r="H17" s="1"/>
      <c r="R17" s="38"/>
    </row>
    <row r="18" spans="1:18" ht="15.75" thickBot="1" x14ac:dyDescent="0.3">
      <c r="A18" s="9" t="s">
        <v>90</v>
      </c>
      <c r="B18" s="10">
        <v>6.092307692307692</v>
      </c>
      <c r="C18" s="1" t="s">
        <v>5</v>
      </c>
      <c r="F18" s="42"/>
      <c r="G18" s="1"/>
      <c r="H18" s="1"/>
      <c r="R18" s="38"/>
    </row>
    <row r="19" spans="1:18" ht="15.75" thickBot="1" x14ac:dyDescent="0.3">
      <c r="A19" s="9" t="s">
        <v>7</v>
      </c>
      <c r="B19" s="10">
        <f>MAX(G22,B25/1000)+G19/1000</f>
        <v>36.831423169601486</v>
      </c>
      <c r="C19" s="1" t="s">
        <v>6</v>
      </c>
      <c r="F19" s="42" t="s">
        <v>141</v>
      </c>
      <c r="G19" s="11">
        <f>150*69*12/830</f>
        <v>149.63855421686748</v>
      </c>
      <c r="H19" s="1" t="s">
        <v>5</v>
      </c>
      <c r="R19" s="38"/>
    </row>
    <row r="20" spans="1:18" ht="15.75" thickBot="1" x14ac:dyDescent="0.3">
      <c r="A20" s="9" t="s">
        <v>20</v>
      </c>
      <c r="B20" s="3">
        <f>1000/B19</f>
        <v>27.150729294254962</v>
      </c>
      <c r="C20" s="1" t="s">
        <v>0</v>
      </c>
      <c r="F20" s="42" t="s">
        <v>139</v>
      </c>
      <c r="G20" s="12">
        <f>(1+ISNUMBER(FIND("2x2",B5,1)))*370*12/830</f>
        <v>5.3493975903614457</v>
      </c>
      <c r="H20" s="1" t="s">
        <v>5</v>
      </c>
      <c r="R20" s="38"/>
    </row>
    <row r="21" spans="1:18" ht="15.75" thickBot="1" x14ac:dyDescent="0.3">
      <c r="A21" s="9" t="s">
        <v>18</v>
      </c>
      <c r="B21" s="10">
        <f>B17/B19*1000</f>
        <v>1291.0627911670379</v>
      </c>
      <c r="C21" s="1" t="s">
        <v>19</v>
      </c>
      <c r="F21" s="42" t="s">
        <v>140</v>
      </c>
      <c r="G21" s="12">
        <f>(1+ISNUMBER(FIND("2x2",B5,1)))*16383*12/830</f>
        <v>236.86265060240964</v>
      </c>
      <c r="H21" s="1" t="s">
        <v>5</v>
      </c>
      <c r="R21" s="38"/>
    </row>
    <row r="22" spans="1:18" ht="15.75" customHeight="1" x14ac:dyDescent="0.25">
      <c r="A22" s="1"/>
      <c r="F22" s="50" t="s">
        <v>43</v>
      </c>
      <c r="G22" s="40">
        <f>B18*(B9+6*2+5)/1000</f>
        <v>36.681784615384615</v>
      </c>
      <c r="H22" s="1" t="s">
        <v>6</v>
      </c>
      <c r="J22" s="39"/>
      <c r="K22" s="39"/>
      <c r="L22" s="38"/>
      <c r="M22" s="38"/>
      <c r="N22" s="38"/>
      <c r="O22" s="38"/>
      <c r="R22" s="38"/>
    </row>
    <row r="23" spans="1:18" ht="15.75" thickBot="1" x14ac:dyDescent="0.3">
      <c r="A23" s="6" t="s">
        <v>16</v>
      </c>
      <c r="F23" s="42" t="s">
        <v>91</v>
      </c>
      <c r="G23" s="11">
        <v>1300</v>
      </c>
      <c r="H23" s="1" t="s">
        <v>88</v>
      </c>
      <c r="R23" s="38"/>
    </row>
    <row r="24" spans="1:18" ht="15.75" thickBot="1" x14ac:dyDescent="0.3">
      <c r="A24" s="9" t="s">
        <v>14</v>
      </c>
      <c r="B24" s="3">
        <f>D10</f>
        <v>100</v>
      </c>
      <c r="C24" s="1" t="s">
        <v>5</v>
      </c>
      <c r="F24" s="13"/>
      <c r="R24" s="38"/>
    </row>
    <row r="25" spans="1:18" ht="15.75" thickBot="1" x14ac:dyDescent="0.3">
      <c r="A25" s="9" t="s">
        <v>15</v>
      </c>
      <c r="B25" s="3">
        <f>B10</f>
        <v>100</v>
      </c>
      <c r="C25" s="1" t="s">
        <v>5</v>
      </c>
      <c r="F25"/>
      <c r="R25" s="38"/>
    </row>
    <row r="26" spans="1:18" x14ac:dyDescent="0.25">
      <c r="F26" s="5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1296.3295133698721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dataValidations count="7">
    <dataValidation type="list" allowBlank="1" showInputMessage="1" showErrorMessage="1" sqref="B6 B5">
      <formula1>"1x1,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4">
      <formula1>"12"</formula1>
    </dataValidation>
    <dataValidation type="list" allowBlank="1" showInputMessage="1" showErrorMessage="1" sqref="B2">
      <formula1>"CB500CG-CM, CB500MG-CM"</formula1>
    </dataValidation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7">
      <formula1>"22"</formula1>
    </dataValidation>
    <dataValidation type="decimal" allowBlank="1" showInputMessage="1" showErrorMessage="1" sqref="B9:B10 B12">
      <formula1>D9</formula1>
      <formula2>E9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154</v>
      </c>
      <c r="G2" s="2" t="s">
        <v>155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145</v>
      </c>
    </row>
    <row r="5" spans="1:18" ht="15.75" thickBot="1" x14ac:dyDescent="0.3">
      <c r="A5" s="9" t="s">
        <v>64</v>
      </c>
      <c r="B5" s="5" t="s">
        <v>66</v>
      </c>
      <c r="F5" s="46"/>
      <c r="G5" s="2" t="s">
        <v>146</v>
      </c>
    </row>
    <row r="6" spans="1:18" ht="15.75" thickBot="1" x14ac:dyDescent="0.3">
      <c r="A6" s="9" t="s">
        <v>70</v>
      </c>
      <c r="B6" s="5" t="s">
        <v>66</v>
      </c>
      <c r="F6" s="46"/>
      <c r="G6" s="2" t="s">
        <v>147</v>
      </c>
    </row>
    <row r="7" spans="1:18" ht="15.75" thickBot="1" x14ac:dyDescent="0.3">
      <c r="A7" s="9" t="s">
        <v>45</v>
      </c>
      <c r="B7" s="4">
        <v>4</v>
      </c>
      <c r="C7" s="1" t="s">
        <v>0</v>
      </c>
      <c r="D7" s="1">
        <v>4</v>
      </c>
      <c r="E7" s="1">
        <v>4</v>
      </c>
      <c r="F7" s="46" t="s">
        <v>97</v>
      </c>
      <c r="G7" s="2" t="s">
        <v>148</v>
      </c>
    </row>
    <row r="8" spans="1:18" ht="15.75" thickBot="1" x14ac:dyDescent="0.3">
      <c r="A8" s="9" t="s">
        <v>23</v>
      </c>
      <c r="B8" s="4">
        <v>728</v>
      </c>
      <c r="C8" s="1" t="s">
        <v>0</v>
      </c>
      <c r="D8" s="1">
        <v>8</v>
      </c>
      <c r="E8" s="1">
        <v>728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544</v>
      </c>
      <c r="C9" s="1" t="s">
        <v>0</v>
      </c>
      <c r="D9" s="1">
        <v>4</v>
      </c>
      <c r="E9" s="1">
        <v>544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17</v>
      </c>
      <c r="C10" s="1" t="s">
        <v>5</v>
      </c>
      <c r="D10" s="41">
        <f>B24</f>
        <v>17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10.833142595559625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0.396032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4</v>
      </c>
      <c r="N16" s="34"/>
      <c r="R16" s="37"/>
    </row>
    <row r="17" spans="1:18" ht="15.75" thickBot="1" x14ac:dyDescent="0.3">
      <c r="A17" s="9" t="s">
        <v>21</v>
      </c>
      <c r="B17" s="10">
        <f>B8*B9/8*B11/1000000</f>
        <v>0.396032</v>
      </c>
      <c r="C17" s="1" t="s">
        <v>35</v>
      </c>
      <c r="F17" s="50" t="s">
        <v>53</v>
      </c>
      <c r="G17" s="1">
        <f>LOG(B7,2)</f>
        <v>2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242</v>
      </c>
      <c r="N17" s="33">
        <v>432</v>
      </c>
      <c r="R17" s="38"/>
    </row>
    <row r="18" spans="1:18" ht="15.75" thickBot="1" x14ac:dyDescent="0.3">
      <c r="A18" s="9" t="s">
        <v>90</v>
      </c>
      <c r="B18" s="10">
        <v>3.226666666666667</v>
      </c>
      <c r="C18" s="1" t="s">
        <v>5</v>
      </c>
      <c r="F18" s="42" t="s">
        <v>103</v>
      </c>
      <c r="G18" s="1">
        <f ca="1">INDIRECT(ADDRESS((G16*2+15)+ISNUMBER(FIND("x2",B6, 2))+ISNUMBER(FIND("x2",B5, 2)), 15-G17))</f>
        <v>242</v>
      </c>
      <c r="H18" s="1" t="s">
        <v>0</v>
      </c>
      <c r="J18" s="26"/>
      <c r="K18" s="26"/>
      <c r="L18" s="22"/>
      <c r="M18" s="18"/>
      <c r="N18" s="32"/>
      <c r="R18" s="38"/>
    </row>
    <row r="19" spans="1:18" ht="15.75" thickBot="1" x14ac:dyDescent="0.3">
      <c r="A19" s="9" t="s">
        <v>7</v>
      </c>
      <c r="B19" s="10">
        <f>G20*B18/1000</f>
        <v>1.8779200000000003</v>
      </c>
      <c r="C19" s="1" t="s">
        <v>6</v>
      </c>
      <c r="F19" s="42" t="s">
        <v>86</v>
      </c>
      <c r="G19" s="12">
        <f ca="1">(1/75000000)*1000000*G18</f>
        <v>3.226666666666667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290</v>
      </c>
      <c r="N19" s="33">
        <v>530</v>
      </c>
      <c r="R19" s="38"/>
    </row>
    <row r="20" spans="1:18" ht="15.75" thickBot="1" x14ac:dyDescent="0.3">
      <c r="A20" s="9" t="s">
        <v>20</v>
      </c>
      <c r="B20" s="3">
        <f>1000/B19</f>
        <v>532.50404703075731</v>
      </c>
      <c r="C20" s="1" t="s">
        <v>0</v>
      </c>
      <c r="F20" s="42" t="s">
        <v>126</v>
      </c>
      <c r="G20" s="1">
        <f>MAX(ROUND((((B10-13.73)/B18)+13), 0), B9+38)</f>
        <v>582</v>
      </c>
      <c r="H20" s="1" t="s">
        <v>0</v>
      </c>
      <c r="J20" s="26"/>
      <c r="K20" s="26"/>
      <c r="L20" s="22"/>
      <c r="M20" s="18"/>
      <c r="N20" s="32"/>
      <c r="R20" s="38"/>
    </row>
    <row r="21" spans="1:18" ht="15.75" thickBot="1" x14ac:dyDescent="0.3">
      <c r="A21" s="9" t="s">
        <v>18</v>
      </c>
      <c r="B21" s="10">
        <f>B17/B19*1000</f>
        <v>210.88864275368491</v>
      </c>
      <c r="C21" s="1" t="s">
        <v>19</v>
      </c>
      <c r="F21" s="42" t="s">
        <v>4</v>
      </c>
      <c r="G21" s="11">
        <f>10*B18</f>
        <v>32.266666666666673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30">
        <v>624</v>
      </c>
      <c r="R21" s="38"/>
    </row>
    <row r="22" spans="1:18" ht="15.75" thickBot="1" x14ac:dyDescent="0.3">
      <c r="F22" s="50" t="s">
        <v>43</v>
      </c>
      <c r="G22" s="40">
        <f>B18*B9/1000</f>
        <v>1.7553066666666668</v>
      </c>
      <c r="H22" s="1" t="s">
        <v>6</v>
      </c>
      <c r="J22" s="15"/>
      <c r="K22" s="26"/>
      <c r="L22" s="22"/>
      <c r="M22" s="18"/>
      <c r="N22" s="32"/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17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16.956666666666667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225.61983471074379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4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7">
    <dataValidation type="list" allowBlank="1" showInputMessage="1" showErrorMessage="1" sqref="B5 B6">
      <formula1>"1x1"</formula1>
    </dataValidation>
    <dataValidation type="list" allowBlank="1" showInputMessage="1" showErrorMessage="1" sqref="B2">
      <formula1>"MC004CG-SY, MC004MG-SY, MX004CG-SY, MX004MG-SY"</formula1>
    </dataValidation>
    <dataValidation type="list" allowBlank="1" showInputMessage="1" showErrorMessage="1" sqref="B11">
      <formula1>"8, 10, 12, 16"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4">
      <formula1>"8, 10, 12"</formula1>
    </dataValidation>
    <dataValidation type="list" allowBlank="1" showInputMessage="1" showErrorMessage="1" sqref="B7">
      <formula1>"4"</formula1>
    </dataValidation>
    <dataValidation type="whole" allowBlank="1" showInputMessage="1" showErrorMessage="1" sqref="B8">
      <formula1>D8</formula1>
      <formula2>E8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156</v>
      </c>
      <c r="G2" s="2" t="s">
        <v>157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149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150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8</v>
      </c>
      <c r="C7" s="1" t="s">
        <v>0</v>
      </c>
      <c r="D7" s="1">
        <v>4</v>
      </c>
      <c r="E7" s="1">
        <v>8</v>
      </c>
      <c r="F7" s="46" t="s">
        <v>97</v>
      </c>
      <c r="G7" s="2" t="s">
        <v>151</v>
      </c>
    </row>
    <row r="8" spans="1:18" ht="15.75" thickBot="1" x14ac:dyDescent="0.3">
      <c r="A8" s="9" t="s">
        <v>23</v>
      </c>
      <c r="B8" s="4">
        <v>1456</v>
      </c>
      <c r="C8" s="1" t="s">
        <v>0</v>
      </c>
      <c r="D8" s="1">
        <v>8</v>
      </c>
      <c r="E8" s="1">
        <v>1456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1088</v>
      </c>
      <c r="C9" s="1" t="s">
        <v>0</v>
      </c>
      <c r="D9" s="1">
        <v>4</v>
      </c>
      <c r="E9" s="1">
        <v>1088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19</v>
      </c>
      <c r="C10" s="1" t="s">
        <v>5</v>
      </c>
      <c r="D10" s="41">
        <f>B24</f>
        <v>17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11.66628519111925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1.584128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8</v>
      </c>
      <c r="N16" s="35">
        <v>4</v>
      </c>
      <c r="O16" s="34"/>
      <c r="R16" s="37"/>
    </row>
    <row r="17" spans="1:18" ht="15.75" thickBot="1" x14ac:dyDescent="0.3">
      <c r="A17" s="9" t="s">
        <v>21</v>
      </c>
      <c r="B17" s="10">
        <f>B8*B9/8*B11/1000000</f>
        <v>1.584128</v>
      </c>
      <c r="C17" s="1" t="s">
        <v>35</v>
      </c>
      <c r="F17" s="50" t="s">
        <v>53</v>
      </c>
      <c r="G17" s="1">
        <f>LOG(B7,2)</f>
        <v>3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238</v>
      </c>
      <c r="N17" s="17">
        <v>424</v>
      </c>
      <c r="O17" s="33">
        <v>796</v>
      </c>
      <c r="R17" s="38"/>
    </row>
    <row r="18" spans="1:18" ht="15.75" thickBot="1" x14ac:dyDescent="0.3">
      <c r="A18" s="9" t="s">
        <v>90</v>
      </c>
      <c r="B18" s="10">
        <v>3.7333333333333334</v>
      </c>
      <c r="C18" s="1" t="s">
        <v>5</v>
      </c>
      <c r="F18" s="42" t="s">
        <v>103</v>
      </c>
      <c r="G18" s="1">
        <f ca="1">INDIRECT(ADDRESS((G16*2+15)+ISNUMBER(FIND("x2",B6, 2))+ISNUMBER(FIND("x2",B5, 2)), 16-G17))</f>
        <v>238</v>
      </c>
      <c r="H18" s="1" t="s">
        <v>0</v>
      </c>
      <c r="J18" s="26"/>
      <c r="K18" s="26" t="s">
        <v>72</v>
      </c>
      <c r="L18" s="22" t="s">
        <v>60</v>
      </c>
      <c r="M18" s="18">
        <v>218</v>
      </c>
      <c r="N18" s="18">
        <v>242</v>
      </c>
      <c r="O18" s="32">
        <v>432</v>
      </c>
      <c r="R18" s="38"/>
    </row>
    <row r="19" spans="1:18" ht="15.75" thickBot="1" x14ac:dyDescent="0.3">
      <c r="A19" s="9" t="s">
        <v>7</v>
      </c>
      <c r="B19" s="10">
        <f>G20*B18/1000</f>
        <v>4.203733333333334</v>
      </c>
      <c r="C19" s="1" t="s">
        <v>6</v>
      </c>
      <c r="F19" s="42" t="s">
        <v>86</v>
      </c>
      <c r="G19" s="12">
        <f ca="1">(1/75000000)*1000000*G18</f>
        <v>3.1733333333333333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290</v>
      </c>
      <c r="N19" s="17">
        <v>520</v>
      </c>
      <c r="O19" s="33">
        <v>990</v>
      </c>
      <c r="R19" s="38"/>
    </row>
    <row r="20" spans="1:18" ht="15.75" thickBot="1" x14ac:dyDescent="0.3">
      <c r="A20" s="9" t="s">
        <v>20</v>
      </c>
      <c r="B20" s="3">
        <f>1000/B19</f>
        <v>237.88378584115702</v>
      </c>
      <c r="C20" s="1" t="s">
        <v>0</v>
      </c>
      <c r="F20" s="42" t="s">
        <v>126</v>
      </c>
      <c r="G20" s="1">
        <f>MAX(ROUND((((B10-13.73)/B18)+13), 0), B9+38)</f>
        <v>1126</v>
      </c>
      <c r="H20" s="1" t="s">
        <v>0</v>
      </c>
      <c r="J20" s="26"/>
      <c r="K20" s="26" t="s">
        <v>72</v>
      </c>
      <c r="L20" s="22" t="s">
        <v>60</v>
      </c>
      <c r="M20" s="18">
        <v>250</v>
      </c>
      <c r="N20" s="18">
        <v>290</v>
      </c>
      <c r="O20" s="32">
        <v>530</v>
      </c>
      <c r="R20" s="38"/>
    </row>
    <row r="21" spans="1:18" ht="15.75" thickBot="1" x14ac:dyDescent="0.3">
      <c r="A21" s="9" t="s">
        <v>18</v>
      </c>
      <c r="B21" s="10">
        <f>B17/B19*1000</f>
        <v>376.83836589698041</v>
      </c>
      <c r="C21" s="1" t="s">
        <v>19</v>
      </c>
      <c r="F21" s="42" t="s">
        <v>4</v>
      </c>
      <c r="G21" s="11">
        <f>10*B18</f>
        <v>37.333333333333336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19">
        <v>612</v>
      </c>
      <c r="O21" s="30">
        <v>1170</v>
      </c>
      <c r="R21" s="38"/>
    </row>
    <row r="22" spans="1:18" ht="15.75" thickBot="1" x14ac:dyDescent="0.3">
      <c r="F22" s="50" t="s">
        <v>43</v>
      </c>
      <c r="G22" s="40">
        <f>B18*B9/1000</f>
        <v>4.061866666666667</v>
      </c>
      <c r="H22" s="1" t="s">
        <v>6</v>
      </c>
      <c r="J22" s="15"/>
      <c r="K22" s="26" t="s">
        <v>72</v>
      </c>
      <c r="L22" s="22" t="s">
        <v>60</v>
      </c>
      <c r="M22" s="18">
        <v>396</v>
      </c>
      <c r="N22" s="18">
        <v>396</v>
      </c>
      <c r="O22" s="32">
        <v>624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17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17.463333333333335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389.99999999999994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3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8"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7">
      <formula1>"4, 8"</formula1>
    </dataValidation>
    <dataValidation type="list" allowBlank="1" showInputMessage="1" showErrorMessage="1" sqref="B4">
      <formula1>"8, 10, 12"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6">
      <formula1>"1x1, 1x2, 2x1,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2">
      <formula1>"MC016CG-SY, MC016MG-SY, MX016CG-SY, MX016MG-SY"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15.425781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120</v>
      </c>
      <c r="G2" s="2" t="s">
        <v>121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10</v>
      </c>
      <c r="C4" s="1" t="s">
        <v>0</v>
      </c>
      <c r="D4" s="1">
        <v>10</v>
      </c>
      <c r="E4" s="1">
        <v>12</v>
      </c>
      <c r="F4" s="46" t="s">
        <v>96</v>
      </c>
      <c r="G4" s="2" t="s">
        <v>61</v>
      </c>
    </row>
    <row r="5" spans="1:18" ht="15.75" thickBot="1" x14ac:dyDescent="0.3">
      <c r="A5" s="9" t="s">
        <v>70</v>
      </c>
      <c r="B5" s="5" t="s">
        <v>66</v>
      </c>
      <c r="F5" s="46" t="s">
        <v>106</v>
      </c>
      <c r="G5" s="2" t="s">
        <v>158</v>
      </c>
    </row>
    <row r="6" spans="1:18" ht="15.75" thickBot="1" x14ac:dyDescent="0.3">
      <c r="A6" s="9" t="s">
        <v>45</v>
      </c>
      <c r="B6" s="4">
        <v>8</v>
      </c>
      <c r="C6" s="1" t="s">
        <v>0</v>
      </c>
      <c r="D6" s="1">
        <v>2</v>
      </c>
      <c r="E6" s="1">
        <v>8</v>
      </c>
      <c r="F6" s="46" t="s">
        <v>97</v>
      </c>
      <c r="G6" s="2" t="s">
        <v>59</v>
      </c>
    </row>
    <row r="7" spans="1:18" ht="15.75" thickBot="1" x14ac:dyDescent="0.3">
      <c r="A7" s="9" t="s">
        <v>23</v>
      </c>
      <c r="B7" s="4">
        <v>1936</v>
      </c>
      <c r="C7" s="1" t="s">
        <v>0</v>
      </c>
      <c r="D7" s="1">
        <v>8</v>
      </c>
      <c r="E7" s="1">
        <v>1936</v>
      </c>
      <c r="F7" s="46" t="s">
        <v>98</v>
      </c>
      <c r="G7" s="2" t="s">
        <v>33</v>
      </c>
    </row>
    <row r="8" spans="1:18" ht="15.75" thickBot="1" x14ac:dyDescent="0.3">
      <c r="A8" s="9" t="s">
        <v>29</v>
      </c>
      <c r="B8" s="4">
        <v>1216</v>
      </c>
      <c r="C8" s="1" t="s">
        <v>0</v>
      </c>
      <c r="D8" s="1">
        <v>2</v>
      </c>
      <c r="E8" s="1">
        <v>1216</v>
      </c>
      <c r="F8" s="46" t="s">
        <v>99</v>
      </c>
      <c r="G8" s="2" t="s">
        <v>32</v>
      </c>
    </row>
    <row r="9" spans="1:18" ht="15.75" thickBot="1" x14ac:dyDescent="0.3">
      <c r="A9" s="9" t="s">
        <v>89</v>
      </c>
      <c r="B9" s="5">
        <v>19</v>
      </c>
      <c r="C9" s="1" t="s">
        <v>5</v>
      </c>
      <c r="D9" s="41">
        <f>B23</f>
        <v>19</v>
      </c>
      <c r="E9" s="1">
        <v>30000000</v>
      </c>
      <c r="F9" s="46" t="s">
        <v>100</v>
      </c>
      <c r="G9" s="2"/>
    </row>
    <row r="10" spans="1:18" ht="15.75" thickBot="1" x14ac:dyDescent="0.3">
      <c r="A10" s="9" t="s">
        <v>85</v>
      </c>
      <c r="B10" s="5">
        <v>8</v>
      </c>
      <c r="C10" s="1" t="s">
        <v>0</v>
      </c>
      <c r="D10" s="41">
        <v>8</v>
      </c>
      <c r="E10" s="1">
        <v>16</v>
      </c>
      <c r="F10" s="46" t="s">
        <v>101</v>
      </c>
      <c r="G10" s="2"/>
    </row>
    <row r="11" spans="1:18" ht="15.75" thickBot="1" x14ac:dyDescent="0.3">
      <c r="A11" s="9" t="s">
        <v>94</v>
      </c>
      <c r="B11" s="47">
        <v>390</v>
      </c>
      <c r="C11" s="1" t="s">
        <v>19</v>
      </c>
      <c r="D11" s="11">
        <f>(10000000+(9375000/(65535*B8))*B8*B7*B10)/1000000</f>
        <v>12.21560997940032</v>
      </c>
      <c r="E11" s="11">
        <v>1000</v>
      </c>
      <c r="F11" s="46" t="s">
        <v>102</v>
      </c>
      <c r="G11" s="2" t="s">
        <v>104</v>
      </c>
    </row>
    <row r="13" spans="1:18" x14ac:dyDescent="0.25">
      <c r="A13" s="6" t="s">
        <v>24</v>
      </c>
    </row>
    <row r="14" spans="1:18" ht="15.75" thickBot="1" x14ac:dyDescent="0.3">
      <c r="A14" s="6" t="s">
        <v>93</v>
      </c>
      <c r="F14" s="6" t="s">
        <v>30</v>
      </c>
      <c r="G14" s="1"/>
      <c r="H14" s="1"/>
      <c r="K14" s="6" t="s">
        <v>51</v>
      </c>
    </row>
    <row r="15" spans="1:18" ht="15.75" thickBot="1" x14ac:dyDescent="0.3">
      <c r="A15" s="9" t="s">
        <v>36</v>
      </c>
      <c r="B15" s="10">
        <f>B8*B7/1000000</f>
        <v>2.3541759999999998</v>
      </c>
      <c r="C15" s="1" t="s">
        <v>22</v>
      </c>
      <c r="F15" s="42" t="s">
        <v>54</v>
      </c>
      <c r="G15" s="1">
        <f>(B4-8)/2</f>
        <v>1</v>
      </c>
      <c r="H15" s="1" t="s">
        <v>0</v>
      </c>
      <c r="J15" s="29"/>
      <c r="K15" s="28" t="s">
        <v>45</v>
      </c>
      <c r="L15" s="27"/>
      <c r="M15" s="34">
        <v>8</v>
      </c>
      <c r="N15" s="35">
        <v>4</v>
      </c>
      <c r="O15" s="34">
        <v>2</v>
      </c>
      <c r="R15" s="37"/>
    </row>
    <row r="16" spans="1:18" ht="15.75" thickBot="1" x14ac:dyDescent="0.3">
      <c r="A16" s="9" t="s">
        <v>21</v>
      </c>
      <c r="B16" s="10">
        <f>B7*B8/8*B10/1000000</f>
        <v>2.3541759999999998</v>
      </c>
      <c r="C16" s="1" t="s">
        <v>35</v>
      </c>
      <c r="F16" s="50" t="s">
        <v>53</v>
      </c>
      <c r="G16" s="1">
        <f>LOG(B6,2)</f>
        <v>3</v>
      </c>
      <c r="H16" s="1" t="s">
        <v>0</v>
      </c>
      <c r="J16" s="24" t="s">
        <v>56</v>
      </c>
      <c r="K16" s="24" t="s">
        <v>40</v>
      </c>
      <c r="L16" s="20" t="s">
        <v>60</v>
      </c>
      <c r="M16" s="17">
        <v>360</v>
      </c>
      <c r="N16" s="17">
        <v>720</v>
      </c>
      <c r="O16" s="33">
        <v>1440</v>
      </c>
      <c r="R16" s="38"/>
    </row>
    <row r="17" spans="1:18" ht="15.75" thickBot="1" x14ac:dyDescent="0.3">
      <c r="A17" s="9" t="s">
        <v>90</v>
      </c>
      <c r="B17" s="10">
        <v>4.9641025641025642</v>
      </c>
      <c r="C17" s="1" t="s">
        <v>5</v>
      </c>
      <c r="F17" s="42" t="s">
        <v>103</v>
      </c>
      <c r="G17" s="1">
        <f ca="1">INDIRECT(ADDRESS(G15*2+14,16-G16))</f>
        <v>360</v>
      </c>
      <c r="H17" s="1" t="s">
        <v>0</v>
      </c>
      <c r="J17" s="26"/>
      <c r="K17" s="26"/>
      <c r="L17" s="22"/>
      <c r="M17" s="18"/>
      <c r="N17" s="18"/>
      <c r="O17" s="32"/>
      <c r="R17" s="38"/>
    </row>
    <row r="18" spans="1:18" ht="15.75" thickBot="1" x14ac:dyDescent="0.3">
      <c r="A18" s="9" t="s">
        <v>7</v>
      </c>
      <c r="B18" s="10">
        <f>G19*B17/1000</f>
        <v>6.2249846153846153</v>
      </c>
      <c r="C18" s="1" t="s">
        <v>6</v>
      </c>
      <c r="F18" s="42" t="s">
        <v>86</v>
      </c>
      <c r="G18" s="12">
        <f ca="1">(1/75000000)*1000000*G17</f>
        <v>4.8000000000000007</v>
      </c>
      <c r="H18" s="1" t="s">
        <v>5</v>
      </c>
      <c r="J18" s="14" t="s">
        <v>57</v>
      </c>
      <c r="K18" s="25" t="s">
        <v>40</v>
      </c>
      <c r="L18" s="23" t="s">
        <v>60</v>
      </c>
      <c r="M18" s="19">
        <v>462</v>
      </c>
      <c r="N18" s="19">
        <v>924</v>
      </c>
      <c r="O18" s="30">
        <v>1848</v>
      </c>
      <c r="R18" s="38"/>
    </row>
    <row r="19" spans="1:18" ht="15.75" thickBot="1" x14ac:dyDescent="0.3">
      <c r="A19" s="9" t="s">
        <v>20</v>
      </c>
      <c r="B19" s="3">
        <f>1000/B18</f>
        <v>160.64296729803473</v>
      </c>
      <c r="C19" s="1" t="s">
        <v>0</v>
      </c>
      <c r="F19" s="42" t="s">
        <v>126</v>
      </c>
      <c r="G19" s="1">
        <f>MAX(ROUND((((B9-13.73)/B17)+13), 0), B8+38+(IF(B5="2x1",-2,0)+IF(B5="2x2",-2,0)))</f>
        <v>1254</v>
      </c>
      <c r="H19" s="1" t="s">
        <v>0</v>
      </c>
      <c r="J19" s="15"/>
      <c r="K19" s="26"/>
      <c r="L19" s="22"/>
      <c r="M19" s="18"/>
      <c r="N19" s="18"/>
      <c r="O19" s="32"/>
      <c r="R19" s="38"/>
    </row>
    <row r="20" spans="1:18" ht="15.75" thickBot="1" x14ac:dyDescent="0.3">
      <c r="A20" s="9" t="s">
        <v>18</v>
      </c>
      <c r="B20" s="10">
        <f>B16/B18*1000</f>
        <v>378.18181818181819</v>
      </c>
      <c r="C20" s="1" t="s">
        <v>19</v>
      </c>
      <c r="F20" s="42" t="s">
        <v>4</v>
      </c>
      <c r="G20" s="11">
        <f>10*B17</f>
        <v>49.641025641025642</v>
      </c>
      <c r="H20" s="1" t="s">
        <v>5</v>
      </c>
      <c r="J20" s="39"/>
      <c r="K20" s="39"/>
      <c r="L20" s="38"/>
      <c r="M20" s="38"/>
      <c r="N20" s="38"/>
      <c r="O20" s="38"/>
      <c r="R20" s="38"/>
    </row>
    <row r="21" spans="1:18" x14ac:dyDescent="0.25">
      <c r="F21" s="50" t="s">
        <v>43</v>
      </c>
      <c r="G21" s="40">
        <f>B17*B8/1000</f>
        <v>6.0363487179487185</v>
      </c>
      <c r="H21" s="1" t="s">
        <v>6</v>
      </c>
      <c r="J21" s="39"/>
      <c r="K21" s="39"/>
      <c r="L21" s="38"/>
      <c r="M21" s="38"/>
      <c r="N21" s="38"/>
      <c r="O21" s="38"/>
      <c r="R21" s="38"/>
    </row>
    <row r="22" spans="1:18" ht="15.75" thickBot="1" x14ac:dyDescent="0.3">
      <c r="A22" s="6" t="s">
        <v>16</v>
      </c>
      <c r="F22" s="42" t="s">
        <v>91</v>
      </c>
      <c r="G22" s="11">
        <v>390</v>
      </c>
      <c r="H22" s="1" t="s">
        <v>88</v>
      </c>
      <c r="J22" s="39"/>
      <c r="K22" s="39"/>
      <c r="L22" s="39"/>
      <c r="M22" s="39"/>
      <c r="N22" s="39"/>
      <c r="O22" s="39"/>
      <c r="R22" s="38"/>
    </row>
    <row r="23" spans="1:18" ht="15.75" thickBot="1" x14ac:dyDescent="0.3">
      <c r="A23" s="9" t="s">
        <v>14</v>
      </c>
      <c r="B23" s="3">
        <f>ROUND(B17+13.73, 0)</f>
        <v>19</v>
      </c>
      <c r="C23" s="1" t="s">
        <v>5</v>
      </c>
      <c r="F23" s="13"/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15</v>
      </c>
      <c r="B24" s="3">
        <f>((ROUND((B9-13.73)/B17,0)*B17)+13.73)</f>
        <v>18.694102564102565</v>
      </c>
      <c r="C24" s="1" t="s">
        <v>5</v>
      </c>
      <c r="F24"/>
      <c r="J24" s="39"/>
      <c r="K24" s="39"/>
      <c r="L24" s="38"/>
      <c r="M24" s="38"/>
      <c r="N24" s="38"/>
      <c r="O24" s="38"/>
      <c r="R24" s="38"/>
    </row>
    <row r="25" spans="1:18" x14ac:dyDescent="0.25">
      <c r="J25" s="39"/>
      <c r="K25" s="39"/>
      <c r="L25" s="38"/>
      <c r="M25" s="38"/>
      <c r="N25" s="38"/>
      <c r="O25" s="38"/>
      <c r="R25" s="38"/>
    </row>
    <row r="26" spans="1:18" ht="15.75" thickBot="1" x14ac:dyDescent="0.3">
      <c r="A26" s="6" t="s">
        <v>92</v>
      </c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9" t="s">
        <v>87</v>
      </c>
      <c r="B27" s="10">
        <f>B15*B10/8/G21*1000</f>
        <v>389.99999999999994</v>
      </c>
      <c r="C27" s="1" t="s">
        <v>88</v>
      </c>
      <c r="D27" s="45" t="str">
        <f>IF((B27&gt;G22), "Throughput is higher than camera family data interface capability", "")</f>
        <v/>
      </c>
      <c r="F27"/>
      <c r="J27" s="39"/>
      <c r="K27" s="39"/>
      <c r="L27" s="38"/>
      <c r="M27" s="38"/>
      <c r="N27" s="38"/>
      <c r="O27" s="38"/>
      <c r="R27" s="38"/>
    </row>
    <row r="28" spans="1:18" x14ac:dyDescent="0.25">
      <c r="A28" s="9"/>
      <c r="R28" s="38"/>
    </row>
    <row r="29" spans="1:18" x14ac:dyDescent="0.25">
      <c r="A29" s="9"/>
      <c r="F29"/>
      <c r="R29" s="38"/>
    </row>
    <row r="30" spans="1:18" x14ac:dyDescent="0.25">
      <c r="A30" s="9"/>
      <c r="F30"/>
      <c r="R30" s="38"/>
    </row>
    <row r="31" spans="1:18" x14ac:dyDescent="0.25"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conditionalFormatting sqref="D27">
    <cfRule type="containsText" dxfId="2" priority="1" operator="containsText" text="Throughput is higher than camera family data interface capability">
      <formula>NOT(ISERROR(SEARCH("Throughput is higher than camera family data interface capability",D27)))</formula>
    </cfRule>
  </conditionalFormatting>
  <dataValidations count="7">
    <dataValidation type="decimal" allowBlank="1" showInputMessage="1" showErrorMessage="1" sqref="B8:B9 B11">
      <formula1>D8</formula1>
      <formula2>E8</formula2>
    </dataValidation>
    <dataValidation type="list" allowBlank="1" showInputMessage="1" showErrorMessage="1" sqref="B4">
      <formula1>"10, 12"</formula1>
    </dataValidation>
    <dataValidation type="list" allowBlank="1" showInputMessage="1" showErrorMessage="1" sqref="B6">
      <formula1>"2, 4, 8"</formula1>
    </dataValidation>
    <dataValidation type="whole" allowBlank="1" showInputMessage="1" showErrorMessage="1" sqref="B7">
      <formula1>D7</formula1>
      <formula2>E7</formula2>
    </dataValidation>
    <dataValidation type="list" allowBlank="1" showInputMessage="1" showErrorMessage="1" sqref="B2">
      <formula1>"MC023CG-SY, MC023MG-SY, MT023CG-SY, MT023MG-SY,MX023CG-SY,MX023MG-SY"</formula1>
    </dataValidation>
    <dataValidation type="list" allowBlank="1" showInputMessage="1" showErrorMessage="1" sqref="B10">
      <formula1>"8, 10, 12, 16"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118</v>
      </c>
      <c r="G2" s="2" t="s">
        <v>119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68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67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69</v>
      </c>
    </row>
    <row r="8" spans="1:18" ht="15.75" thickBot="1" x14ac:dyDescent="0.3">
      <c r="A8" s="9" t="s">
        <v>23</v>
      </c>
      <c r="B8" s="4">
        <v>2064</v>
      </c>
      <c r="C8" s="1" t="s">
        <v>0</v>
      </c>
      <c r="D8" s="1">
        <v>8</v>
      </c>
      <c r="E8" s="1">
        <v>2064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1544</v>
      </c>
      <c r="C9" s="1" t="s">
        <v>0</v>
      </c>
      <c r="D9" s="1">
        <v>4</v>
      </c>
      <c r="E9" s="1">
        <v>1544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19</v>
      </c>
      <c r="C10" s="1" t="s">
        <v>5</v>
      </c>
      <c r="D10" s="41">
        <f>B24</f>
        <v>19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12.362096589608607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3.1868159999999999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9" t="s">
        <v>21</v>
      </c>
      <c r="B17" s="10">
        <f>B8*B9/8*B11/1000000</f>
        <v>3.1868159999999999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217</v>
      </c>
      <c r="N17" s="17">
        <v>310</v>
      </c>
      <c r="O17" s="33">
        <v>576</v>
      </c>
      <c r="R17" s="38"/>
    </row>
    <row r="18" spans="1:18" ht="15.75" thickBot="1" x14ac:dyDescent="0.3">
      <c r="A18" s="9" t="s">
        <v>90</v>
      </c>
      <c r="B18" s="10">
        <v>5.292307692307693</v>
      </c>
      <c r="C18" s="1" t="s">
        <v>5</v>
      </c>
      <c r="F18" s="42" t="s">
        <v>103</v>
      </c>
      <c r="G18" s="1">
        <f ca="1">INDIRECT(ADDRESS((G16*2+15)+ISNUMBER(FIND("x2",B6, 2))*1, 17-G17))</f>
        <v>217</v>
      </c>
      <c r="H18" s="1" t="s">
        <v>0</v>
      </c>
      <c r="J18" s="26"/>
      <c r="K18" s="26" t="s">
        <v>72</v>
      </c>
      <c r="L18" s="22" t="s">
        <v>60</v>
      </c>
      <c r="M18" s="18">
        <v>217</v>
      </c>
      <c r="N18" s="18">
        <v>218</v>
      </c>
      <c r="O18" s="32">
        <v>320</v>
      </c>
      <c r="R18" s="38"/>
    </row>
    <row r="19" spans="1:18" ht="15.75" thickBot="1" x14ac:dyDescent="0.3">
      <c r="A19" s="9" t="s">
        <v>7</v>
      </c>
      <c r="B19" s="10">
        <f>G20*B18/1000</f>
        <v>8.3724307692307711</v>
      </c>
      <c r="C19" s="1" t="s">
        <v>6</v>
      </c>
      <c r="F19" s="42" t="s">
        <v>86</v>
      </c>
      <c r="G19" s="12">
        <f ca="1">(1/75000000)*1000000*G18</f>
        <v>2.8933333333333335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245</v>
      </c>
      <c r="N19" s="17">
        <v>380</v>
      </c>
      <c r="O19" s="33">
        <v>710</v>
      </c>
      <c r="R19" s="38"/>
    </row>
    <row r="20" spans="1:18" ht="15.75" thickBot="1" x14ac:dyDescent="0.3">
      <c r="A20" s="9" t="s">
        <v>20</v>
      </c>
      <c r="B20" s="3">
        <f>1000/B19</f>
        <v>119.43962602534323</v>
      </c>
      <c r="C20" s="1" t="s">
        <v>0</v>
      </c>
      <c r="F20" s="42" t="s">
        <v>126</v>
      </c>
      <c r="G20" s="1">
        <f>MAX(ROUND((((B10-13.73)/B18)+13), 0), B9+38)</f>
        <v>1582</v>
      </c>
      <c r="H20" s="1" t="s">
        <v>0</v>
      </c>
      <c r="J20" s="26"/>
      <c r="K20" s="26" t="s">
        <v>72</v>
      </c>
      <c r="L20" s="22" t="s">
        <v>60</v>
      </c>
      <c r="M20" s="18">
        <v>245</v>
      </c>
      <c r="N20" s="18">
        <v>245</v>
      </c>
      <c r="O20" s="32">
        <v>390</v>
      </c>
      <c r="R20" s="38"/>
    </row>
    <row r="21" spans="1:18" ht="15.75" thickBot="1" x14ac:dyDescent="0.3">
      <c r="A21" s="9" t="s">
        <v>18</v>
      </c>
      <c r="B21" s="10">
        <f>B17/B19*1000</f>
        <v>380.63211125158017</v>
      </c>
      <c r="C21" s="1" t="s">
        <v>19</v>
      </c>
      <c r="F21" s="42" t="s">
        <v>4</v>
      </c>
      <c r="G21" s="11">
        <f>10*B18</f>
        <v>52.923076923076934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19">
        <v>444</v>
      </c>
      <c r="O21" s="30">
        <v>846</v>
      </c>
      <c r="R21" s="38"/>
    </row>
    <row r="22" spans="1:18" ht="15.75" thickBot="1" x14ac:dyDescent="0.3">
      <c r="F22" s="50" t="s">
        <v>43</v>
      </c>
      <c r="G22" s="40">
        <f>B18*B9/1000</f>
        <v>8.1713230769230769</v>
      </c>
      <c r="H22" s="1" t="s">
        <v>6</v>
      </c>
      <c r="J22" s="15"/>
      <c r="K22" s="26" t="s">
        <v>72</v>
      </c>
      <c r="L22" s="22" t="s">
        <v>60</v>
      </c>
      <c r="M22" s="18">
        <v>396</v>
      </c>
      <c r="N22" s="18">
        <v>396</v>
      </c>
      <c r="O22" s="32">
        <v>456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19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19.022307692307692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389.99999999999994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dataValidations count="8">
    <dataValidation type="list" allowBlank="1" showInputMessage="1" showErrorMessage="1" sqref="B6">
      <formula1>"1x1, 1x2, 2x1, 2x2"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7">
      <formula1>"4, 8, 16"</formula1>
    </dataValidation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2">
      <formula1>"MC031CG-SY, MC031MG-SY, MT031CG-SY, MT031MG-SY, MX031CG-SY, MX031MG-SY"</formula1>
    </dataValidation>
    <dataValidation type="list" allowBlank="1" showInputMessage="1" showErrorMessage="1" sqref="B4">
      <formula1>"8, 10, 12"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122</v>
      </c>
      <c r="G2" s="2" t="s">
        <v>123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62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65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63</v>
      </c>
    </row>
    <row r="8" spans="1:18" ht="15.75" thickBot="1" x14ac:dyDescent="0.3">
      <c r="A8" s="9" t="s">
        <v>23</v>
      </c>
      <c r="B8" s="4">
        <v>2464</v>
      </c>
      <c r="C8" s="1" t="s">
        <v>0</v>
      </c>
      <c r="D8" s="1">
        <v>8</v>
      </c>
      <c r="E8" s="1">
        <v>2464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2056</v>
      </c>
      <c r="C9" s="1" t="s">
        <v>0</v>
      </c>
      <c r="D9" s="1">
        <v>4</v>
      </c>
      <c r="E9" s="1">
        <v>2056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20</v>
      </c>
      <c r="C10" s="1" t="s">
        <v>5</v>
      </c>
      <c r="D10" s="41">
        <f>B24</f>
        <v>20</v>
      </c>
      <c r="E10" s="1">
        <v>30000000</v>
      </c>
      <c r="F10" s="46" t="s">
        <v>100</v>
      </c>
    </row>
    <row r="11" spans="1:1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12.819867246509499</v>
      </c>
      <c r="E12" s="11">
        <v>1000</v>
      </c>
      <c r="F12" s="46" t="s">
        <v>102</v>
      </c>
      <c r="G12" s="2" t="s">
        <v>104</v>
      </c>
    </row>
    <row r="13" spans="1:18" x14ac:dyDescent="0.25">
      <c r="F13" s="46"/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5.0659840000000003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9" t="s">
        <v>21</v>
      </c>
      <c r="B17" s="10">
        <f>B8*B9/8*B11/1000000</f>
        <v>5.0659840000000003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217</v>
      </c>
      <c r="N17" s="17">
        <v>360</v>
      </c>
      <c r="O17" s="33">
        <v>676</v>
      </c>
      <c r="R17" s="38"/>
    </row>
    <row r="18" spans="1:18" ht="15.75" thickBot="1" x14ac:dyDescent="0.3">
      <c r="A18" s="9" t="s">
        <v>90</v>
      </c>
      <c r="B18" s="10">
        <v>6.3179487179487177</v>
      </c>
      <c r="C18" s="1" t="s">
        <v>5</v>
      </c>
      <c r="F18" s="42" t="s">
        <v>103</v>
      </c>
      <c r="G18" s="1">
        <f ca="1">INDIRECT(ADDRESS((G16*2+15)+ISNUMBER(FIND("x2",B6, 2))*1, 17-G17))</f>
        <v>217</v>
      </c>
      <c r="H18" s="1" t="s">
        <v>0</v>
      </c>
      <c r="J18" s="26"/>
      <c r="K18" s="26" t="s">
        <v>72</v>
      </c>
      <c r="L18" s="22" t="s">
        <v>60</v>
      </c>
      <c r="M18" s="18">
        <v>218</v>
      </c>
      <c r="N18" s="18">
        <v>218</v>
      </c>
      <c r="O18" s="32">
        <v>368</v>
      </c>
      <c r="R18" s="38"/>
    </row>
    <row r="19" spans="1:18" ht="15.75" thickBot="1" x14ac:dyDescent="0.3">
      <c r="A19" s="9" t="s">
        <v>7</v>
      </c>
      <c r="B19" s="10">
        <f>G20*B18/1000</f>
        <v>13.229784615384615</v>
      </c>
      <c r="C19" s="1" t="s">
        <v>6</v>
      </c>
      <c r="F19" s="42" t="s">
        <v>86</v>
      </c>
      <c r="G19" s="12">
        <f ca="1">(1/75000000)*1000000*G18</f>
        <v>2.8933333333333335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245</v>
      </c>
      <c r="N19" s="17">
        <v>440</v>
      </c>
      <c r="O19" s="33">
        <v>835</v>
      </c>
      <c r="R19" s="38"/>
    </row>
    <row r="20" spans="1:18" ht="15.75" thickBot="1" x14ac:dyDescent="0.3">
      <c r="A20" s="9" t="s">
        <v>20</v>
      </c>
      <c r="B20" s="3">
        <f>1000/B19</f>
        <v>75.587020429427312</v>
      </c>
      <c r="C20" s="1" t="s">
        <v>0</v>
      </c>
      <c r="F20" s="42" t="s">
        <v>126</v>
      </c>
      <c r="G20" s="1">
        <f>MAX(ROUND((((B10-13.73)/B18)+13), 0), B9+38)</f>
        <v>2094</v>
      </c>
      <c r="H20" s="1" t="s">
        <v>0</v>
      </c>
      <c r="J20" s="26"/>
      <c r="K20" s="26" t="s">
        <v>72</v>
      </c>
      <c r="L20" s="22" t="s">
        <v>60</v>
      </c>
      <c r="M20" s="18">
        <v>260</v>
      </c>
      <c r="N20" s="18">
        <v>250</v>
      </c>
      <c r="O20" s="32">
        <v>450</v>
      </c>
      <c r="R20" s="38"/>
    </row>
    <row r="21" spans="1:18" ht="15.75" thickBot="1" x14ac:dyDescent="0.3">
      <c r="A21" s="9" t="s">
        <v>18</v>
      </c>
      <c r="B21" s="10">
        <f>B17/B19*1000</f>
        <v>382.92263610315189</v>
      </c>
      <c r="C21" s="1" t="s">
        <v>19</v>
      </c>
      <c r="F21" s="42" t="s">
        <v>4</v>
      </c>
      <c r="G21" s="11">
        <f>10*B18</f>
        <v>63.179487179487175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19">
        <v>519</v>
      </c>
      <c r="O21" s="30">
        <v>996</v>
      </c>
      <c r="R21" s="38"/>
    </row>
    <row r="22" spans="1:18" ht="15.75" thickBot="1" x14ac:dyDescent="0.3">
      <c r="F22" s="50" t="s">
        <v>43</v>
      </c>
      <c r="G22" s="40">
        <f>B18*B9/1000</f>
        <v>12.989702564102563</v>
      </c>
      <c r="H22" s="1" t="s">
        <v>6</v>
      </c>
      <c r="J22" s="15"/>
      <c r="K22" s="26" t="s">
        <v>72</v>
      </c>
      <c r="L22" s="22" t="s">
        <v>60</v>
      </c>
      <c r="M22" s="18">
        <v>396</v>
      </c>
      <c r="N22" s="18">
        <v>396</v>
      </c>
      <c r="O22" s="32">
        <v>534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20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20.047948717948717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390.00000000000006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dataValidations count="8"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4">
      <formula1>"8, 10, 12"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2">
      <formula1>"MC050CG-SY, MC050MG-SY, MT050CG-SY, MT050MG-SY, MX050CG-SY, MX050MG-SY"</formula1>
    </dataValidation>
    <dataValidation type="list" allowBlank="1" showInputMessage="1" showErrorMessage="1" sqref="B6">
      <formula1>"1x1, 1x2, 2x1,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5">
      <formula1>"1x1"</formula1>
    </dataValidation>
    <dataValidation type="list" allowBlank="1" showInputMessage="1" showErrorMessage="1" sqref="B7">
      <formula1>"4, 8, 16"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About</vt:lpstr>
      <vt:lpstr>CMV12000 </vt:lpstr>
      <vt:lpstr>CMV20000</vt:lpstr>
      <vt:lpstr>CMV50000</vt:lpstr>
      <vt:lpstr>IMX287</vt:lpstr>
      <vt:lpstr>IMX273</vt:lpstr>
      <vt:lpstr>IMX174</vt:lpstr>
      <vt:lpstr>IMX252</vt:lpstr>
      <vt:lpstr>IMX250</vt:lpstr>
      <vt:lpstr>IMX255</vt:lpstr>
      <vt:lpstr>IMX253</vt:lpstr>
      <vt:lpstr>GSENSE2020</vt:lpstr>
      <vt:lpstr>GSENSE2020-BSI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Mishka</dc:creator>
  <cp:lastModifiedBy>jan.koscelansky</cp:lastModifiedBy>
  <dcterms:created xsi:type="dcterms:W3CDTF">2013-10-22T13:23:58Z</dcterms:created>
  <dcterms:modified xsi:type="dcterms:W3CDTF">2019-01-18T11:41:19Z</dcterms:modified>
</cp:coreProperties>
</file>